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ЗМІНИ  по благоустрою  за 2012р" sheetId="1" r:id="rId1"/>
  </sheets>
  <definedNames/>
  <calcPr fullCalcOnLoad="1"/>
</workbook>
</file>

<file path=xl/sharedStrings.xml><?xml version="1.0" encoding="utf-8"?>
<sst xmlns="http://schemas.openxmlformats.org/spreadsheetml/2006/main" count="735" uniqueCount="436">
  <si>
    <t>на виконання Програми благоустрою міста Нетішина</t>
  </si>
  <si>
    <t>Найменування робіт</t>
  </si>
  <si>
    <t>Одиниця виміру</t>
  </si>
  <si>
    <t>Примітка</t>
  </si>
  <si>
    <t>До об’єктів міського благоустрою належать:</t>
  </si>
  <si>
    <t>1. Вулично-дорожня мережа (земляне полотно і проїзна частина вулиць, доріг, майданів, внутрішньоквартальних та інших</t>
  </si>
  <si>
    <t>проїздів, тротуари, пішохідні та велосипедні доріжки, вуличні автомобільні стоянки, водостічні та дренажні системи, труби</t>
  </si>
  <si>
    <t>та малі мости, які не є окремими інвентарними об’єктами, технічні засоби організації дорожнього руху, у тому числі системи</t>
  </si>
  <si>
    <t>керування рухом)</t>
  </si>
  <si>
    <t>1.</t>
  </si>
  <si>
    <t>2. Штучні споруди на вулично-дорожній мережі (мости, естакади, шляхопроводи, транспортні та пішохідні тунелі)</t>
  </si>
  <si>
    <t>4. Зелені насадження (парки, сквери, сади загального користування, зелені насадження на вулицях, дорогах, прибудинкових</t>
  </si>
  <si>
    <t>територіях та санітарно-захисних зонах)</t>
  </si>
  <si>
    <t>апаратура диспетчерського зв’язку, автоматика та телемеханіка)</t>
  </si>
  <si>
    <t>стінки, сходи, парапети, дренажі)</t>
  </si>
  <si>
    <t>сміттєпереробні заводи, громадські туалети, пункти приймання тварин, карантинні майданчики, кладовища для тварин)</t>
  </si>
  <si>
    <t>заправки водою поливально-мийних машин)</t>
  </si>
  <si>
    <t>9. Об’єкти благоустрою кладовищ</t>
  </si>
  <si>
    <t>Об’єм робіт</t>
  </si>
  <si>
    <t>№ п/п</t>
  </si>
  <si>
    <t xml:space="preserve"> Очистка проїжджої частини дорiг бiля бордюрiв вручну вiд</t>
  </si>
  <si>
    <t xml:space="preserve"> нанесеного грунту в рухаючий механiзм.</t>
  </si>
  <si>
    <t>Пр.Незалежностi</t>
  </si>
  <si>
    <t>Пр.Курчатова</t>
  </si>
  <si>
    <t>Вул.Будiвельникiв</t>
  </si>
  <si>
    <t>Вул.Миру</t>
  </si>
  <si>
    <t>Вул.Набережна</t>
  </si>
  <si>
    <t>Вул.Михайлова</t>
  </si>
  <si>
    <t>Вул.Шевченка</t>
  </si>
  <si>
    <t>Вул.Висоцького</t>
  </si>
  <si>
    <t>Вул.Варшавська</t>
  </si>
  <si>
    <t>Вул.Лiсова</t>
  </si>
  <si>
    <t>Вул.Старонетiшинська</t>
  </si>
  <si>
    <t>Вул.Снiгурi</t>
  </si>
  <si>
    <t>Вул.Космонавтiв</t>
  </si>
  <si>
    <t>10 м.</t>
  </si>
  <si>
    <t>Очищення від сміття та догляд за колодязями по місту</t>
  </si>
  <si>
    <t>Очищення дорожних знаків від бруду вручну</t>
  </si>
  <si>
    <t xml:space="preserve">Очищення від сміття та догляд за лівнеприймачами від грязі в ручну </t>
  </si>
  <si>
    <t>Видалення бур'яну біля бордюрів вручну</t>
  </si>
  <si>
    <t>Косіння трави, на узбіччях дороги вручну</t>
  </si>
  <si>
    <t>Посипання покриття протиожеледним матеріалом вручну з рухомого механізму /широкі тротуари/</t>
  </si>
  <si>
    <t>1шт</t>
  </si>
  <si>
    <t>100м2</t>
  </si>
  <si>
    <t>Алея між д/с№1,2,ЗОШ№1</t>
  </si>
  <si>
    <t>Район маг №5,8</t>
  </si>
  <si>
    <t>Алеї д/с№5,6,7,ЗОШ№3</t>
  </si>
  <si>
    <t xml:space="preserve"> Навантаження матерiалiв (піску) на транспортні засоби вручну</t>
  </si>
  <si>
    <t>л/год</t>
  </si>
  <si>
    <t>по договору</t>
  </si>
  <si>
    <t>10м</t>
  </si>
  <si>
    <t>м</t>
  </si>
  <si>
    <t>3. Побутове та комунальне обладнання територій житлової забудови (сміттєзбірники, майданчики для сушіння білизни, відпочинку населення, дитячих забав і спортивних ігор, проведення культурно-масових заходів та інші)</t>
  </si>
  <si>
    <t>Прополювання пристовбурних ямок бiля листяних  дерев</t>
  </si>
  <si>
    <t>шт.</t>
  </si>
  <si>
    <t>Влаштування пристовбурних ямок дерев i поодиноких кущiв</t>
  </si>
  <si>
    <t>м2</t>
  </si>
  <si>
    <t>Поливання деревно-чагарникових насаджень у пристовбурнi ямки</t>
  </si>
  <si>
    <t>Видалення сiкатором порослi дерев</t>
  </si>
  <si>
    <t>Обкопування дерев на зиму</t>
  </si>
  <si>
    <t>Вiдгортання землi вiд дерев</t>
  </si>
  <si>
    <t>Підв"язування садженця  до кілка</t>
  </si>
  <si>
    <t>Підгортання грунтом дерев на висоту конуса, до 20см</t>
  </si>
  <si>
    <t>шт</t>
  </si>
  <si>
    <t>Корчування пнів в міських умовах</t>
  </si>
  <si>
    <t>Обробка блактних  і звичйних ялин в зимовий період /приготування розчину/</t>
  </si>
  <si>
    <t>Струшування снігу з дерев висотою до 3м</t>
  </si>
  <si>
    <t>м3</t>
  </si>
  <si>
    <t>Влаштування канавок для поливання живоплоту</t>
  </si>
  <si>
    <t xml:space="preserve">Поливання деревно-чагарникових насаджень  </t>
  </si>
  <si>
    <t>Прополювання пристовбурних канавок бiля неколючих чагарникiв</t>
  </si>
  <si>
    <t xml:space="preserve">Вiдгортання землi вiд чагарникiв </t>
  </si>
  <si>
    <t>Обкопування чагарникiв на зиму</t>
  </si>
  <si>
    <t xml:space="preserve">Ручна стрижка живоплоту вiком бiльше  5 рокiв  з землi </t>
  </si>
  <si>
    <t xml:space="preserve">Догляд   за    квiтниками </t>
  </si>
  <si>
    <t xml:space="preserve">Копання ущільн.середніх грунт. до 15см </t>
  </si>
  <si>
    <t>Очищення квiтникiв вiд стебел квiткових рослин</t>
  </si>
  <si>
    <t>Прополювання квiтникiв з розпушуванням грунту при середнiй забур"яненостi</t>
  </si>
  <si>
    <t>Поливання рослин у квiтниках зi шлангу довжиною до 40м</t>
  </si>
  <si>
    <t>Сiвба насiнням однорiчних квiтiв з загортанням землею</t>
  </si>
  <si>
    <t xml:space="preserve">Проріджування однорічних квіткових рослин  з розпушуванням і прополюванням на грунтах середніх при слабкій забур"яненості. </t>
  </si>
  <si>
    <t xml:space="preserve">Збирання сирцю насіння однорічних і дворічних  квіткових рослин </t>
  </si>
  <si>
    <t>1кг.</t>
  </si>
  <si>
    <t>Очищення насіння квіткових рослин однорічних дворічних</t>
  </si>
  <si>
    <t>Влаштування ямок глибиною до 10см</t>
  </si>
  <si>
    <t xml:space="preserve">Навантаження на автотранспорт сміття </t>
  </si>
  <si>
    <t xml:space="preserve">Розрівнювання скопаної поверхні без  ощищення грунту </t>
  </si>
  <si>
    <t xml:space="preserve">Просушування  та провітрювання  насіння </t>
  </si>
  <si>
    <t xml:space="preserve">Догляд   за   звичайними   газонами </t>
  </si>
  <si>
    <t>Викошування газонів газонокосаркою</t>
  </si>
  <si>
    <t>Огляд та охорона зелених насаджень</t>
  </si>
  <si>
    <t>Прибирання пам"ятників</t>
  </si>
  <si>
    <t>Непередбачені  роботи</t>
  </si>
  <si>
    <t>Догляд   за   чагарниками   із   живої   загорожі</t>
  </si>
  <si>
    <t>Поточний  ремонт</t>
  </si>
  <si>
    <t>7. Об’єкти благоустрою та прибирання міст (зливні станції, полігони для твердих побутових відходів, сміттєперевантажувальні станції,</t>
  </si>
  <si>
    <t>8. Гідротехнічні та протизсувні споруди (штучні та природні водойми, дамби, греблі, пірси, берегові укріплення, набережні та підпірні</t>
  </si>
  <si>
    <t>8.1. Споруди водопостачання (насосні станції біля водойм для поливу, пожежні водойми, гідранти, шахтні та механічні колодязі, пункти</t>
  </si>
  <si>
    <t>8.2. Пляжі та переправи (обладнання пляжів, помости, пристані, плавучі засоби)</t>
  </si>
  <si>
    <t>Прибирання  тротуарів</t>
  </si>
  <si>
    <t xml:space="preserve">Прибирання  газонів від випадкового сміття </t>
  </si>
  <si>
    <t xml:space="preserve">Очистка металевих  урн від  сміття </t>
  </si>
  <si>
    <t>Вигрібання сміття на газонах  /весна/</t>
  </si>
  <si>
    <t>Очищення від піску:</t>
  </si>
  <si>
    <t xml:space="preserve">            - газонів при шарі до 10см</t>
  </si>
  <si>
    <t xml:space="preserve">            - живоплоту</t>
  </si>
  <si>
    <t>Навантаження  піску  вручну</t>
  </si>
  <si>
    <t>т</t>
  </si>
  <si>
    <t>Навантаження побутового   сміття  вручну</t>
  </si>
  <si>
    <t>Навантаження   листя    вручну</t>
  </si>
  <si>
    <t>Перенесення вантажу на віддаль понад 50м</t>
  </si>
  <si>
    <t xml:space="preserve">Прибирання паркової зони </t>
  </si>
  <si>
    <t>Прибирання сміття в лісосмузі ЖЕД №4</t>
  </si>
  <si>
    <t>Видалення трави та бур"яну між тротуарною плиткою</t>
  </si>
  <si>
    <t>Видалення бур"яну біля огорожі</t>
  </si>
  <si>
    <t>Згрібання трави з газонів після косіння трави</t>
  </si>
  <si>
    <t>Вигрібання  сміття та опавшого листя на газонах/осінь/</t>
  </si>
  <si>
    <t xml:space="preserve">Очищення доріжок від снігу вручну, переходи </t>
  </si>
  <si>
    <t>між широкими тротуарами та біля лавок:</t>
  </si>
  <si>
    <t xml:space="preserve">             - пухкого при товщині шару до 10см</t>
  </si>
  <si>
    <t xml:space="preserve">             - щільного  при товщині шару до 10см</t>
  </si>
  <si>
    <t>Посипання тротуарів  піском</t>
  </si>
  <si>
    <t>Змітання  снігу  з лавок при товщ.шару до 10см</t>
  </si>
  <si>
    <t>Непередбачені роботи</t>
  </si>
  <si>
    <t>Поточний ремонт ;</t>
  </si>
  <si>
    <t>Прибирання приміщень на 2-му поверсі</t>
  </si>
  <si>
    <t>Прибирання приміщень на 1-му поверсі</t>
  </si>
  <si>
    <t>Прибирання будок</t>
  </si>
  <si>
    <t xml:space="preserve">Прибирання території вольєрів </t>
  </si>
  <si>
    <t>Дезинфекція  приміщень,території вольєрів</t>
  </si>
  <si>
    <t>Прибирання території за вольєрами</t>
  </si>
  <si>
    <t>Перенесення води / віддаль  300м/</t>
  </si>
  <si>
    <t>л</t>
  </si>
  <si>
    <t>Посипання піском  території вольєрів</t>
  </si>
  <si>
    <t xml:space="preserve">Годування    тварин </t>
  </si>
  <si>
    <t>Приготування їжі тваринам</t>
  </si>
  <si>
    <t xml:space="preserve">                 Обвідний  канал</t>
  </si>
  <si>
    <t>Погрузка сміття вручну</t>
  </si>
  <si>
    <t>Очищення обвідного каналу від сміття,  фітопланктона, водорослів</t>
  </si>
  <si>
    <t xml:space="preserve">          Міський   фонтан </t>
  </si>
  <si>
    <t xml:space="preserve">Прибирання  бетонних доріжок </t>
  </si>
  <si>
    <t>Сапування трави між тротуарною плиткою</t>
  </si>
  <si>
    <t xml:space="preserve">Очистка  доріжок від снігу,який щойно випав  </t>
  </si>
  <si>
    <t xml:space="preserve">       - щільного снігу</t>
  </si>
  <si>
    <t xml:space="preserve">Очищення   фонтану від мулових відкладень </t>
  </si>
  <si>
    <t>т.</t>
  </si>
  <si>
    <t xml:space="preserve">Посипання піском взимку </t>
  </si>
  <si>
    <t xml:space="preserve">Очистка урн </t>
  </si>
  <si>
    <t xml:space="preserve">              Пішохідні  містки</t>
  </si>
  <si>
    <t xml:space="preserve">Прибирання  сміття  </t>
  </si>
  <si>
    <t xml:space="preserve">Очистка містків від снігу   вручну:  </t>
  </si>
  <si>
    <t xml:space="preserve">       - який щойно випав</t>
  </si>
  <si>
    <t xml:space="preserve">       - щільного снігу </t>
  </si>
  <si>
    <t xml:space="preserve">          Міський  пляж</t>
  </si>
  <si>
    <t xml:space="preserve">Прибирання сміття на тротуарних доріжках </t>
  </si>
  <si>
    <t>Біління  дерев</t>
  </si>
  <si>
    <t xml:space="preserve">Очистка  урн  </t>
  </si>
  <si>
    <t xml:space="preserve">                Старе  кладовище</t>
  </si>
  <si>
    <t>Косіння  трави вручну</t>
  </si>
  <si>
    <t>Вирубування самосійних дерев(порослі) з д. 5см</t>
  </si>
  <si>
    <t>10шт</t>
  </si>
  <si>
    <t xml:space="preserve"> Навантаження  сміття вручну</t>
  </si>
  <si>
    <t xml:space="preserve">Прибирання території кладовища  від випадкового сміття </t>
  </si>
  <si>
    <t xml:space="preserve">Очистка від снігу,який щойно випав </t>
  </si>
  <si>
    <t xml:space="preserve">               Нове  кладовище</t>
  </si>
  <si>
    <t xml:space="preserve">Косіння  трави  вручну </t>
  </si>
  <si>
    <t xml:space="preserve">Прибирання широких доріг </t>
  </si>
  <si>
    <t xml:space="preserve">Прибирання вузької та широкої алеї </t>
  </si>
  <si>
    <t xml:space="preserve">  -   вiд снiгу,який щойно випав                            </t>
  </si>
  <si>
    <t>Навантаження  сміття вручну</t>
  </si>
  <si>
    <t xml:space="preserve">Посипання тротуарних доріжок піском </t>
  </si>
  <si>
    <t xml:space="preserve">Прибирання сміття на території кладовища  </t>
  </si>
  <si>
    <t>Догляд та охорона території кладовища</t>
  </si>
  <si>
    <t>Вартість  робіт  всього:</t>
  </si>
  <si>
    <t>Вартість робіт всього   по  утриманню  та  ремонту  доріг, мостів  та  тротуарів</t>
  </si>
  <si>
    <t>5.      Малі архітектурні споруди (лави, урни, навіси на зупинках громадського транспорту, паркани, огорожі, альтанки, декоративні</t>
  </si>
  <si>
    <t>6.      Вуличне освітлення та зовнішні електромережі (електричне обладнання, у тому числі лінії електропередач напругою до 1000 В,</t>
  </si>
  <si>
    <t>Очищення автобусних зупинок та автостоянок від сміття і бруду</t>
  </si>
  <si>
    <t>1т</t>
  </si>
  <si>
    <t>Поточний ремонт мостів</t>
  </si>
  <si>
    <t>Капітальні видатки</t>
  </si>
  <si>
    <t>Встановлення і ремонт дорожних знаків</t>
  </si>
  <si>
    <t xml:space="preserve"> Біління дерев</t>
  </si>
  <si>
    <t>Біління бордюр квіткових клумб</t>
  </si>
  <si>
    <t>Садіння дерев</t>
  </si>
  <si>
    <t>100кущів</t>
  </si>
  <si>
    <t>1 дерево</t>
  </si>
  <si>
    <t>Ремонтні роботи біля пам"ятника с.Нетішин</t>
  </si>
  <si>
    <t>Ремонтні роботи біля пам"ятника с.Солов"є</t>
  </si>
  <si>
    <t>Контейнери</t>
  </si>
  <si>
    <t>скульптури та композиції, пам’ятники, обладнання дитячих та спортивних майданчиків, вази для квітів, фонтани та декоративні басейни)</t>
  </si>
  <si>
    <t>Ремонт  пішохідних містків</t>
  </si>
  <si>
    <t>Ремонт на обвідному каналі</t>
  </si>
  <si>
    <t>Електроенергія на вуличне освітлення</t>
  </si>
  <si>
    <t>Вартість робіт всього  по  утриманню та ремонту  зелених  насаджень</t>
  </si>
  <si>
    <t>Зняття омели з автовишки пр кількості кущів на дереві до 16-20 шт</t>
  </si>
  <si>
    <t>Зняття омели з драбини пр кількості кущів на дереві до 21-29шт</t>
  </si>
  <si>
    <t>Видалення сікатором порослі дерев</t>
  </si>
  <si>
    <t>Очищення площі від сухостійних і аварійних дерев  д=0,16-0,20м</t>
  </si>
  <si>
    <t>1м3</t>
  </si>
  <si>
    <t>Догляд  зелених насаджень в зимовий період</t>
  </si>
  <si>
    <t xml:space="preserve">        Догляд  зелених насаджень в весняно-осінній період</t>
  </si>
  <si>
    <t xml:space="preserve">     Догляд   за  деревами</t>
  </si>
  <si>
    <t>Перевірка кріплення світильників</t>
  </si>
  <si>
    <t xml:space="preserve">Перевірка і випробрвування </t>
  </si>
  <si>
    <t>регулюючого апарату</t>
  </si>
  <si>
    <t>Опори залізобетонні</t>
  </si>
  <si>
    <t>Огляд та перевірка стану опори,</t>
  </si>
  <si>
    <t>Нумерація опор</t>
  </si>
  <si>
    <t>Опори металеві</t>
  </si>
  <si>
    <t>Огляд та перевірка стану опори</t>
  </si>
  <si>
    <t>Електрична мережа кабельна</t>
  </si>
  <si>
    <t>Огляд і профілактичний  ремонт,</t>
  </si>
  <si>
    <t>Виконуючий пункт ТК РП</t>
  </si>
  <si>
    <t>чистка апаратури,перевірка реле,</t>
  </si>
  <si>
    <t>Пункт включення  /шафа/</t>
  </si>
  <si>
    <t>1 світ</t>
  </si>
  <si>
    <t>1 опора</t>
  </si>
  <si>
    <t>1 км</t>
  </si>
  <si>
    <t>1 ВП</t>
  </si>
  <si>
    <t>1ПВ</t>
  </si>
  <si>
    <t>1км</t>
  </si>
  <si>
    <t>Очищення пляжу від випадкового сміття</t>
  </si>
  <si>
    <t>Очищення спортплощадки від випадкового сміття</t>
  </si>
  <si>
    <t>Очищення газонів від випадкового сміття</t>
  </si>
  <si>
    <t>Ремонтні роботи біля пам"ятника загиблим єврейським юнакам та дівчатам</t>
  </si>
  <si>
    <t>Дільниця №1</t>
  </si>
  <si>
    <t>Дільниця №2</t>
  </si>
  <si>
    <t>Дільниця №3</t>
  </si>
  <si>
    <t>Дільниця №4</t>
  </si>
  <si>
    <t>Прибирання снігу та льоду на автобусних зупинках,автостоянках,на узбіччі дороги</t>
  </si>
  <si>
    <t>Розмітка пішохідних переходів</t>
  </si>
  <si>
    <t>Ремонт підпірної стіни по вул Будівельників</t>
  </si>
  <si>
    <t>Улаштування лівневих решіток,кришок на колодязі дощової каналізаціі</t>
  </si>
  <si>
    <t>Вартість робіт  по  утриманню  та ремонту кладовища</t>
  </si>
  <si>
    <t>Ремонт спортивного майданчика по вул Варшавська</t>
  </si>
  <si>
    <t>Вартість  робіт  всього по утриманню та ремонту пляжу,мостків,фонтану,обвідного каналу</t>
  </si>
  <si>
    <t>Разом   по  благоустрою міста</t>
  </si>
  <si>
    <t>Кошторис</t>
  </si>
  <si>
    <t>Норма год на од вимір</t>
  </si>
  <si>
    <t>Періодичність</t>
  </si>
  <si>
    <t>Вартість послуг /грн/</t>
  </si>
  <si>
    <t>Чергування в  святкові дні при зимовому  утриманні доріг</t>
  </si>
  <si>
    <t>Разом</t>
  </si>
  <si>
    <t>Ремонт робочого інвентаря</t>
  </si>
  <si>
    <t>Фарбування дерев"яних лавок біля міськвикокому</t>
  </si>
  <si>
    <t>Вирізування сухого гілля  на деревах та кущах</t>
  </si>
  <si>
    <t>Посадка  кущів</t>
  </si>
  <si>
    <t>Електроенергія для утримання  фонтану</t>
  </si>
  <si>
    <t>АГП - 22 - роботи по обрізці дерев,зняття омели</t>
  </si>
  <si>
    <t>Т-16 - перевезення вапна,матеріалів,води</t>
  </si>
  <si>
    <t>КО- 713 - полив зелених насаджень</t>
  </si>
  <si>
    <t>Т-16 -Очищення доріг,широких тротуарів від снігу</t>
  </si>
  <si>
    <t>ЗІЛ - Перевезення піску</t>
  </si>
  <si>
    <t>Т-16 - перевезення вапна,фарби,лавок,бруса</t>
  </si>
  <si>
    <t>ТО - 30 - погрузка  сміття,піску</t>
  </si>
  <si>
    <t>АГП-22  - Обслуговування та ремонт мереж вуличного освітлення</t>
  </si>
  <si>
    <t>САК - зварювальні роботи</t>
  </si>
  <si>
    <t>САК зварювальні роботи</t>
  </si>
  <si>
    <t xml:space="preserve">Т-40 - вивіз сміття </t>
  </si>
  <si>
    <t>Монтаж та демонтаж новорічної ялинки</t>
  </si>
  <si>
    <t>Т-16 Підмітання доріг,широких тротуарів весняно-осінній період</t>
  </si>
  <si>
    <t>Т- 150 (РУМ) посипання доріг протиожеледним мтеріалом в зимовий період</t>
  </si>
  <si>
    <t>Т-40 -Посипання широких тротуарів протиожеледним матеріалом в зимовий період</t>
  </si>
  <si>
    <t>м/год</t>
  </si>
  <si>
    <t>Посадка квітів</t>
  </si>
  <si>
    <t>Поточний  ремонт   /Насосна міського фонтану/</t>
  </si>
  <si>
    <t>Доставка монтаж демонтаж міської новорічної ялинки</t>
  </si>
  <si>
    <t>Наклеювання  плакатів, бігбордів</t>
  </si>
  <si>
    <t>Встановлення  прапорців</t>
  </si>
  <si>
    <t>Непередбачені    роботи  /крім того/</t>
  </si>
  <si>
    <t>Монтаж  естрадної  сцени</t>
  </si>
  <si>
    <t>КО-713 - Очищення доріг від пилу та бруду автополивальною машиною,миття біотуалетів</t>
  </si>
  <si>
    <t>Всього трудовитрат /л/год/</t>
  </si>
  <si>
    <t>ЗІЛ -  завезення рослинного грунту</t>
  </si>
  <si>
    <t xml:space="preserve">Мотоножиці </t>
  </si>
  <si>
    <t>Поточний  ремонт  фонтана</t>
  </si>
  <si>
    <t>Поточний ремонт  на пляжі</t>
  </si>
  <si>
    <t>Капітальний ремонт АГП -22</t>
  </si>
  <si>
    <t>Встановлення  біотуалетів</t>
  </si>
  <si>
    <t>Дорога до нового кладовища</t>
  </si>
  <si>
    <t>Дорога до хлібзаводу</t>
  </si>
  <si>
    <t>Вул Підгірна</t>
  </si>
  <si>
    <t>Очищення територіі на узбіччі дороги від випадкового сміття при</t>
  </si>
  <si>
    <t xml:space="preserve">Обрізка та прорідження кущів </t>
  </si>
  <si>
    <t>Обрізка та прорідження сухого гілля на деревах</t>
  </si>
  <si>
    <t>вул Млинова</t>
  </si>
  <si>
    <t>пров Зелений</t>
  </si>
  <si>
    <t>великій засміченості       /дорога до сміттєзвалища/</t>
  </si>
  <si>
    <t>Очищення пішохідних тротуарів від снігу вручну</t>
  </si>
  <si>
    <t>Посипання покриття протиожеледним матеріалом вручну з рухомого механізму /внутрідворові вулиці та автостоянки/</t>
  </si>
  <si>
    <t>ТО-30  - видаленя аврійних дерев,погрузка  зрізаних дерев</t>
  </si>
  <si>
    <t>Вартість робіт всього  по прибиранню благоустрою міста</t>
  </si>
  <si>
    <t>Вартість робіт всього  по утриманню  мереж зовнішнього освітлення</t>
  </si>
  <si>
    <t>Вартість робіт  всього  по  утриманню  безпритульних тварин</t>
  </si>
  <si>
    <t xml:space="preserve">Разом </t>
  </si>
  <si>
    <t>Вартість  робіт  по утриманню та ремонту пляжу,мостків,фонтану,обвідного каналу</t>
  </si>
  <si>
    <t>Огляд і ремонт замків люка</t>
  </si>
  <si>
    <t>Рихтовка цоколя,змазка затяжних болтів цоколя</t>
  </si>
  <si>
    <t>правильність регулювання контактної системи і стан котушок</t>
  </si>
  <si>
    <t>Огляд і профілактичний  ремонт</t>
  </si>
  <si>
    <t xml:space="preserve"> вручну від  нанесеного грунту в рухаючий механiзм на мостах</t>
  </si>
  <si>
    <t xml:space="preserve"> Очищення проїжджої частини дорiг,тротуарних доріжок бiля бордюрiв </t>
  </si>
  <si>
    <t>пр Незалежності</t>
  </si>
  <si>
    <t>вул Будівельників</t>
  </si>
  <si>
    <t xml:space="preserve"> Очищення   тротуарних доріжок від снігу  та льоду  на  мостах</t>
  </si>
  <si>
    <t>Прибирання стоянки від сміття</t>
  </si>
  <si>
    <t>Т-40- Вивіз сміття,піску, завезення гілля берези для виготовлення  віників</t>
  </si>
  <si>
    <t>МТЗ - 80 -        вивіз сухого  гілля,      відведення захисної межі в лісі, викошування газонів міста</t>
  </si>
  <si>
    <t>Облуговування мереж  вуличного  освітлення</t>
  </si>
  <si>
    <t>Ремонтні роботи  на кладовищі</t>
  </si>
  <si>
    <t xml:space="preserve"> Очищення лiвнезбiрникiв вiд сніг  вручну  при товщині снігового покрову до 0,25 м) </t>
  </si>
  <si>
    <t xml:space="preserve"> Прочистка  світильників</t>
  </si>
  <si>
    <t>Пункт  приймання безпритульних  тварин</t>
  </si>
  <si>
    <t>Матеріали, послуги, заробітна плата рятувальної служби на пляжі</t>
  </si>
  <si>
    <t>Розрахунок</t>
  </si>
  <si>
    <t>Т-156 - Погрузка піску на автранспорт</t>
  </si>
  <si>
    <t>ГАЗ-33 -   Перевезення робітників,матеріалів,інструментів</t>
  </si>
  <si>
    <t>Т-25 - Превезення зварювального апарату,матеріалів,вивіз сміття</t>
  </si>
  <si>
    <t>ТО-30 - Погрузка сміття, піску,відсіву,підготовка пісчано-сольової суміші</t>
  </si>
  <si>
    <t>АГП 22 - наклеювання бігбордів,плакатів,монтаж сцени,ремонт в"їздних знаків</t>
  </si>
  <si>
    <t>Компресор - Демонтаж бетонного покриття</t>
  </si>
  <si>
    <t>ГАЗ- 33 перевезення робітників</t>
  </si>
  <si>
    <t>Т-40 -  вивіз листя,гілля, ,завезення гілля  берези для виготовлення віників</t>
  </si>
  <si>
    <t>Газ -33  - перевезення садженців дерев,розсади,матеріалів,перевезення робітників</t>
  </si>
  <si>
    <t>МТЗ-80 викошування трави,перевезення сміття</t>
  </si>
  <si>
    <t>ТО- 30 погрузка  сміття, піску</t>
  </si>
  <si>
    <t>Прибирання бетонної доріжки від сміття</t>
  </si>
  <si>
    <t>Видалення трави та бур"яну  біля  бордюра</t>
  </si>
  <si>
    <t>Прибирання газонів від випадкового сміття</t>
  </si>
  <si>
    <t>Сапування  трави та бур"яну між тротуарною плиткою</t>
  </si>
  <si>
    <t>Прочищення водовідних канав для відведення  талої води узбіч,вручну</t>
  </si>
  <si>
    <t>Збір харчових відходів по д/с,школах,МСЧ№4</t>
  </si>
  <si>
    <t>Т-40 -вивіз сміття,листя,сіна,завезення піску</t>
  </si>
  <si>
    <t>Т-16 перевезення вапна,фарби,матеріалів,зварювального апарату</t>
  </si>
  <si>
    <t>ТО-30 - погрузка сміття,піску</t>
  </si>
  <si>
    <t>Придбання:  Човен  для очищення обвідного каналу від сміття</t>
  </si>
  <si>
    <t>МТЗ-80 вивіз  сміття,викошування трави</t>
  </si>
  <si>
    <t>ЗІЛ  - Завезення піску</t>
  </si>
  <si>
    <t>МТЗ- 80 -вивіз сміття,листя,сіна,завезення  піску</t>
  </si>
  <si>
    <t>Прибирання територіі міста</t>
  </si>
  <si>
    <t xml:space="preserve">Разом   </t>
  </si>
  <si>
    <t>Перевірка стану освітлення   в  вечірниі час</t>
  </si>
  <si>
    <t>Поточний ремонт  мереж вуличного освітлення</t>
  </si>
  <si>
    <t xml:space="preserve">Вартість робіт всього  </t>
  </si>
  <si>
    <t>Капітальні видатки:</t>
  </si>
  <si>
    <t>Кущоріз 343 РХ</t>
  </si>
  <si>
    <t xml:space="preserve"> Поточний  ремонт  вулично дорожньої мережі</t>
  </si>
  <si>
    <t>Т-16 - Перевезення харчових відходів  для безпритульних тварин</t>
  </si>
  <si>
    <t>випробовування кабеля</t>
  </si>
  <si>
    <t>Заготівля березових гілок та в"язання   віників</t>
  </si>
  <si>
    <t>№399</t>
  </si>
  <si>
    <t>№400</t>
  </si>
  <si>
    <t>№401</t>
  </si>
  <si>
    <t>Ремонтні роботи біля пам"ятника голодомору</t>
  </si>
  <si>
    <t>№402</t>
  </si>
  <si>
    <t>Підпірна  стіна по вул Будівельників</t>
  </si>
  <si>
    <t>№405</t>
  </si>
  <si>
    <t>№404</t>
  </si>
  <si>
    <t>Кошт №398</t>
  </si>
  <si>
    <t>№408</t>
  </si>
  <si>
    <t>№413</t>
  </si>
  <si>
    <t>№412</t>
  </si>
  <si>
    <t>№416</t>
  </si>
  <si>
    <t>Кошт №403</t>
  </si>
  <si>
    <t>№423</t>
  </si>
  <si>
    <t>Кошт №420</t>
  </si>
  <si>
    <t>Ремонт, фарбування лавок та встановлення урн для  сміття</t>
  </si>
  <si>
    <t>Біління  бордюр по місту</t>
  </si>
  <si>
    <t>ТО-30 - Чистка доріг від снігу,погрузка снігу на автронспорт</t>
  </si>
  <si>
    <t>Засипка ям, траншей піском вручну, на грунтових дорогах</t>
  </si>
  <si>
    <t>Ремонт в"їзного знаку  зі сторони Осторга</t>
  </si>
  <si>
    <t>Ремонт в"їзного знаку  зі сторони Славута</t>
  </si>
  <si>
    <t>Ремонт засобів зменшення  дорожнього руху</t>
  </si>
  <si>
    <t>Сівба  квітів</t>
  </si>
  <si>
    <t>Поточний ремонт бетонної доріжки від м.Нетішин до ХАЕС</t>
  </si>
  <si>
    <t xml:space="preserve">Сміттєвоз КО-413 </t>
  </si>
  <si>
    <t>Кошт №327</t>
  </si>
  <si>
    <t xml:space="preserve">  Поточний ремонт:  РБР</t>
  </si>
  <si>
    <t>Вартість робіт всього  по  утриманню   зелених  насаджень</t>
  </si>
  <si>
    <t xml:space="preserve">Разом  обслуговування </t>
  </si>
  <si>
    <t>Вартість робіт всього  обслуговування  та  ремонт</t>
  </si>
  <si>
    <t>Разом обслуговування</t>
  </si>
  <si>
    <t>Вартість  робіт  по утриманню  пляжу,мостків,фонтану,обвідного каналу</t>
  </si>
  <si>
    <t>Вартість робіт всього   по  утриманню  доріг, мостів  та  тротуарів</t>
  </si>
  <si>
    <t>Посів  газонів</t>
  </si>
  <si>
    <t>Вартість робіт  по  утриманню   кладовища</t>
  </si>
  <si>
    <t>Транспортні  витрати</t>
  </si>
  <si>
    <t xml:space="preserve">Поточний ремонт паркувальних майданчиків міста </t>
  </si>
  <si>
    <t xml:space="preserve">Експертна  оцінка   доріг садибної забудови </t>
  </si>
  <si>
    <t>Капітальний ремонт  дороги по   вул Снігурі</t>
  </si>
  <si>
    <t>11а</t>
  </si>
  <si>
    <t xml:space="preserve">Виготовлення документів для  відведення земельної ділянки для облаштування притулку  для  тварин </t>
  </si>
  <si>
    <t>/по договору/</t>
  </si>
  <si>
    <t>Придбання, монтаж та пусконалагодження  системи освітлення перехрестя  при в"їзді до м.Нетішин</t>
  </si>
  <si>
    <t xml:space="preserve"> Придбання машин та  механізмів для ремонту та утримання доріг</t>
  </si>
  <si>
    <t xml:space="preserve">Розроблення та  видача технічних умов ,підключення електроустановок  споживача  та технічна перевірка правильності  роботи засобів обліку </t>
  </si>
  <si>
    <t>Експертне обстеження підприємства для  видачі дозволу на спроможність виконувати роботи підвищеної небезпеки ,та експертне обстеження  технічного стану АГП-22 після капітального ремонту</t>
  </si>
  <si>
    <t>Поточний ремонт доріг міста та садибної забудови</t>
  </si>
  <si>
    <t>Кладовище по вул. Солов"ївський</t>
  </si>
  <si>
    <t>Встановлення зупинок  на вул. Старонетішинський тв вул Солов"ївський</t>
  </si>
  <si>
    <t>Придбання  туалетів  з підключенням до сантехкомунікацій з додатковою комплектацією</t>
  </si>
  <si>
    <t xml:space="preserve"> Прикрашання міської Новорічної ялинки /ялинка, матеріали,ялинкові прикраси, послуги стороннніх організацій/</t>
  </si>
  <si>
    <t>3а</t>
  </si>
  <si>
    <t>№431</t>
  </si>
  <si>
    <t xml:space="preserve"> №427</t>
  </si>
  <si>
    <t xml:space="preserve"> №432</t>
  </si>
  <si>
    <t xml:space="preserve"> №434</t>
  </si>
  <si>
    <t>Поточний  ремонт доріг</t>
  </si>
  <si>
    <t xml:space="preserve"> №425</t>
  </si>
  <si>
    <t xml:space="preserve"> №429</t>
  </si>
  <si>
    <t xml:space="preserve"> №428</t>
  </si>
  <si>
    <t>№426</t>
  </si>
  <si>
    <t>№430</t>
  </si>
  <si>
    <t>№438</t>
  </si>
  <si>
    <t>№439,  440,441,442    6-Вд</t>
  </si>
  <si>
    <t>36,37-(1-6)</t>
  </si>
  <si>
    <t>№443-КР</t>
  </si>
  <si>
    <t>№410</t>
  </si>
  <si>
    <t>№414</t>
  </si>
  <si>
    <t>№415</t>
  </si>
  <si>
    <t>№409</t>
  </si>
  <si>
    <t>Поточний ремонт та держповірка елктролічильників</t>
  </si>
  <si>
    <t>ЗАТВЕРДЖЕНО</t>
  </si>
  <si>
    <t>Додаток 2</t>
  </si>
  <si>
    <t>рішенням шістнадцятої сесії</t>
  </si>
  <si>
    <t>Нетішинської міської ради</t>
  </si>
  <si>
    <t>від 11.11.2011 № 16/325</t>
  </si>
  <si>
    <t>VІ скликання</t>
  </si>
  <si>
    <t>(у редакції рішення тридцять</t>
  </si>
  <si>
    <t xml:space="preserve">сьомої сесії Нетішинської міської </t>
  </si>
  <si>
    <t>ради VІ скликання</t>
  </si>
  <si>
    <t>ЗАХОДИ</t>
  </si>
  <si>
    <t>на 2012 рік</t>
  </si>
  <si>
    <t>29.01.2013 № 37/799)</t>
  </si>
  <si>
    <t>3 № 37/799)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</si>
</sst>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0"/>
    <numFmt numFmtId="174" formatCode="0.0000000"/>
    <numFmt numFmtId="175" formatCode="0.000000000"/>
    <numFmt numFmtId="176" formatCode="0.0000000000"/>
  </numFmts>
  <fonts count="15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171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68" fontId="4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 horizontal="center" vertical="top" wrapText="1"/>
    </xf>
    <xf numFmtId="171" fontId="2" fillId="0" borderId="1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Alignment="1">
      <alignment/>
    </xf>
    <xf numFmtId="171" fontId="5" fillId="0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171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82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5.25390625" style="6" customWidth="1"/>
    <col min="2" max="2" width="63.375" style="6" customWidth="1"/>
    <col min="3" max="3" width="11.00390625" style="6" customWidth="1"/>
    <col min="4" max="5" width="9.375" style="6" customWidth="1"/>
    <col min="6" max="6" width="9.00390625" style="6" customWidth="1"/>
    <col min="7" max="7" width="11.25390625" style="6" customWidth="1"/>
    <col min="8" max="8" width="11.375" style="6" customWidth="1"/>
    <col min="9" max="9" width="9.625" style="6" customWidth="1"/>
    <col min="10" max="10" width="12.00390625" style="6" customWidth="1"/>
    <col min="11" max="16384" width="9.125" style="6" customWidth="1"/>
  </cols>
  <sheetData>
    <row r="1" spans="6:8" ht="15.75">
      <c r="F1" s="169"/>
      <c r="G1" s="169"/>
      <c r="H1" s="169" t="s">
        <v>424</v>
      </c>
    </row>
    <row r="2" spans="6:9" ht="15.75">
      <c r="F2" s="169" t="s">
        <v>423</v>
      </c>
      <c r="G2" s="169"/>
      <c r="H2" s="169"/>
      <c r="I2" s="189"/>
    </row>
    <row r="3" spans="6:9" ht="15.75">
      <c r="F3" s="169" t="s">
        <v>425</v>
      </c>
      <c r="G3" s="169"/>
      <c r="H3" s="169"/>
      <c r="I3" s="189"/>
    </row>
    <row r="4" spans="6:9" ht="15.75">
      <c r="F4" s="169" t="s">
        <v>426</v>
      </c>
      <c r="G4" s="169"/>
      <c r="H4" s="169"/>
      <c r="I4" s="189"/>
    </row>
    <row r="5" spans="6:9" ht="15.75">
      <c r="F5" s="169" t="s">
        <v>428</v>
      </c>
      <c r="G5" s="169"/>
      <c r="H5" s="169"/>
      <c r="I5" s="189"/>
    </row>
    <row r="6" spans="6:9" ht="15.75">
      <c r="F6" s="169" t="s">
        <v>427</v>
      </c>
      <c r="G6" s="169"/>
      <c r="H6" s="169"/>
      <c r="I6" s="189"/>
    </row>
    <row r="7" spans="6:9" ht="15.75">
      <c r="F7" s="169" t="s">
        <v>429</v>
      </c>
      <c r="G7" s="169"/>
      <c r="H7" s="169"/>
      <c r="I7" s="189"/>
    </row>
    <row r="8" spans="6:9" ht="15.75">
      <c r="F8" s="169" t="s">
        <v>430</v>
      </c>
      <c r="G8" s="169"/>
      <c r="H8" s="169"/>
      <c r="I8" s="189"/>
    </row>
    <row r="9" spans="6:9" ht="15.75">
      <c r="F9" s="169" t="s">
        <v>431</v>
      </c>
      <c r="G9" s="169"/>
      <c r="H9" s="169"/>
      <c r="I9" s="189"/>
    </row>
    <row r="10" spans="6:9" ht="15.75">
      <c r="F10" s="169" t="s">
        <v>434</v>
      </c>
      <c r="G10" s="169" t="s">
        <v>435</v>
      </c>
      <c r="H10" s="169"/>
      <c r="I10" s="189"/>
    </row>
    <row r="11" spans="2:8" ht="15.75">
      <c r="B11" s="170"/>
      <c r="C11" s="172" t="s">
        <v>432</v>
      </c>
      <c r="D11" s="172"/>
      <c r="E11" s="170"/>
      <c r="F11" s="170"/>
      <c r="G11" s="169"/>
      <c r="H11" s="169"/>
    </row>
    <row r="12" spans="1:6" ht="15.75">
      <c r="A12" s="8"/>
      <c r="B12" s="170"/>
      <c r="C12" s="171" t="s">
        <v>0</v>
      </c>
      <c r="D12" s="170"/>
      <c r="E12" s="170"/>
      <c r="F12" s="170"/>
    </row>
    <row r="13" spans="1:7" ht="15.75">
      <c r="A13" s="8"/>
      <c r="B13" s="170"/>
      <c r="C13" s="171" t="s">
        <v>433</v>
      </c>
      <c r="D13" s="170"/>
      <c r="E13" s="170"/>
      <c r="F13" s="170"/>
      <c r="G13" s="126"/>
    </row>
    <row r="15" ht="12.75">
      <c r="D15" s="125"/>
    </row>
    <row r="16" spans="1:11" ht="51">
      <c r="A16" s="124" t="s">
        <v>19</v>
      </c>
      <c r="B16" s="53" t="s">
        <v>1</v>
      </c>
      <c r="C16" s="53" t="s">
        <v>2</v>
      </c>
      <c r="D16" s="124" t="s">
        <v>18</v>
      </c>
      <c r="E16" s="53" t="s">
        <v>240</v>
      </c>
      <c r="F16" s="53" t="s">
        <v>239</v>
      </c>
      <c r="G16" s="53" t="s">
        <v>273</v>
      </c>
      <c r="H16" s="53" t="s">
        <v>241</v>
      </c>
      <c r="I16" s="5" t="s">
        <v>3</v>
      </c>
      <c r="J16" s="13"/>
      <c r="K16" s="13"/>
    </row>
    <row r="17" spans="1:11" ht="12.75">
      <c r="A17" s="11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23">
        <v>8</v>
      </c>
      <c r="I17" s="35">
        <v>9</v>
      </c>
      <c r="J17" s="94"/>
      <c r="K17" s="94"/>
    </row>
    <row r="18" spans="1:9" ht="12.75">
      <c r="A18" s="173" t="s">
        <v>4</v>
      </c>
      <c r="B18" s="173"/>
      <c r="C18" s="173"/>
      <c r="D18" s="173"/>
      <c r="E18" s="173"/>
      <c r="F18" s="173"/>
      <c r="G18" s="173"/>
      <c r="H18" s="174"/>
      <c r="I18" s="3"/>
    </row>
    <row r="19" spans="1:9" ht="12.75">
      <c r="A19" s="175" t="s">
        <v>5</v>
      </c>
      <c r="B19" s="176"/>
      <c r="C19" s="176"/>
      <c r="D19" s="176"/>
      <c r="E19" s="176"/>
      <c r="F19" s="176"/>
      <c r="G19" s="176"/>
      <c r="H19" s="176"/>
      <c r="I19" s="122"/>
    </row>
    <row r="20" spans="1:9" ht="12.75">
      <c r="A20" s="177" t="s">
        <v>6</v>
      </c>
      <c r="B20" s="178"/>
      <c r="C20" s="178"/>
      <c r="D20" s="178"/>
      <c r="E20" s="178"/>
      <c r="F20" s="178"/>
      <c r="G20" s="178"/>
      <c r="H20" s="178"/>
      <c r="I20" s="121"/>
    </row>
    <row r="21" spans="1:9" ht="12.75">
      <c r="A21" s="177" t="s">
        <v>7</v>
      </c>
      <c r="B21" s="178"/>
      <c r="C21" s="178"/>
      <c r="D21" s="178"/>
      <c r="E21" s="178"/>
      <c r="F21" s="178"/>
      <c r="G21" s="178"/>
      <c r="H21" s="178"/>
      <c r="I21" s="121"/>
    </row>
    <row r="22" spans="1:9" ht="12.75">
      <c r="A22" s="179" t="s">
        <v>8</v>
      </c>
      <c r="B22" s="180"/>
      <c r="C22" s="180"/>
      <c r="D22" s="180"/>
      <c r="E22" s="180"/>
      <c r="F22" s="180"/>
      <c r="G22" s="180"/>
      <c r="H22" s="180"/>
      <c r="I22" s="120"/>
    </row>
    <row r="23" spans="1:9" ht="12.75">
      <c r="A23" s="119" t="s">
        <v>9</v>
      </c>
      <c r="B23" s="98" t="s">
        <v>20</v>
      </c>
      <c r="C23" s="118"/>
      <c r="D23" s="118"/>
      <c r="E23" s="117"/>
      <c r="F23" s="117"/>
      <c r="G23" s="117"/>
      <c r="H23" s="116"/>
      <c r="I23" s="61"/>
    </row>
    <row r="24" spans="1:9" ht="12.75">
      <c r="A24" s="49"/>
      <c r="B24" s="2" t="s">
        <v>21</v>
      </c>
      <c r="C24" s="29"/>
      <c r="D24" s="29"/>
      <c r="E24" s="37"/>
      <c r="F24" s="37"/>
      <c r="G24" s="29"/>
      <c r="H24" s="45"/>
      <c r="I24" s="3"/>
    </row>
    <row r="25" spans="1:9" ht="12.75">
      <c r="A25" s="49"/>
      <c r="B25" s="3" t="s">
        <v>22</v>
      </c>
      <c r="C25" s="35" t="s">
        <v>35</v>
      </c>
      <c r="D25" s="35">
        <f>2000/10</f>
        <v>200</v>
      </c>
      <c r="E25" s="38">
        <v>16</v>
      </c>
      <c r="F25" s="38">
        <v>0.47</v>
      </c>
      <c r="G25" s="112">
        <f aca="true" t="shared" si="0" ref="G25:G87">D25*E25*F25</f>
        <v>1504</v>
      </c>
      <c r="H25" s="104">
        <f>890300/33270.718*G25</f>
        <v>40245.93638165548</v>
      </c>
      <c r="I25" s="3"/>
    </row>
    <row r="26" spans="1:9" ht="12.75">
      <c r="A26" s="49"/>
      <c r="B26" s="3" t="s">
        <v>23</v>
      </c>
      <c r="C26" s="35" t="s">
        <v>35</v>
      </c>
      <c r="D26" s="35">
        <f>400/10</f>
        <v>40</v>
      </c>
      <c r="E26" s="38">
        <v>16</v>
      </c>
      <c r="F26" s="38">
        <v>0.47</v>
      </c>
      <c r="G26" s="112">
        <f t="shared" si="0"/>
        <v>300.79999999999995</v>
      </c>
      <c r="H26" s="104">
        <f aca="true" t="shared" si="1" ref="H26:H87">890300/33270.718*G26</f>
        <v>8049.187276331095</v>
      </c>
      <c r="I26" s="3"/>
    </row>
    <row r="27" spans="1:9" ht="12.75">
      <c r="A27" s="49"/>
      <c r="B27" s="3" t="s">
        <v>24</v>
      </c>
      <c r="C27" s="35" t="s">
        <v>35</v>
      </c>
      <c r="D27" s="35">
        <f>574/10</f>
        <v>57.4</v>
      </c>
      <c r="E27" s="38">
        <v>16</v>
      </c>
      <c r="F27" s="38">
        <v>0.47</v>
      </c>
      <c r="G27" s="112">
        <f t="shared" si="0"/>
        <v>431.64799999999997</v>
      </c>
      <c r="H27" s="104">
        <f t="shared" si="1"/>
        <v>11550.583741535122</v>
      </c>
      <c r="I27" s="3"/>
    </row>
    <row r="28" spans="1:9" ht="12.75">
      <c r="A28" s="49"/>
      <c r="B28" s="3" t="s">
        <v>25</v>
      </c>
      <c r="C28" s="35" t="s">
        <v>35</v>
      </c>
      <c r="D28" s="35">
        <f>300/10</f>
        <v>30</v>
      </c>
      <c r="E28" s="38">
        <v>16</v>
      </c>
      <c r="F28" s="38">
        <v>0.47</v>
      </c>
      <c r="G28" s="112">
        <f t="shared" si="0"/>
        <v>225.6</v>
      </c>
      <c r="H28" s="104">
        <f t="shared" si="1"/>
        <v>6036.890457248322</v>
      </c>
      <c r="I28" s="3"/>
    </row>
    <row r="29" spans="1:9" ht="12.75">
      <c r="A29" s="49"/>
      <c r="B29" s="3" t="s">
        <v>26</v>
      </c>
      <c r="C29" s="35" t="s">
        <v>35</v>
      </c>
      <c r="D29" s="35">
        <f>1930/10</f>
        <v>193</v>
      </c>
      <c r="E29" s="38">
        <v>16</v>
      </c>
      <c r="F29" s="38">
        <v>0.47</v>
      </c>
      <c r="G29" s="112">
        <f t="shared" si="0"/>
        <v>1451.36</v>
      </c>
      <c r="H29" s="104">
        <f t="shared" si="1"/>
        <v>38837.32860829754</v>
      </c>
      <c r="I29" s="3"/>
    </row>
    <row r="30" spans="1:9" ht="12.75">
      <c r="A30" s="49"/>
      <c r="B30" s="3" t="s">
        <v>27</v>
      </c>
      <c r="C30" s="35" t="s">
        <v>35</v>
      </c>
      <c r="D30" s="35">
        <f>960/10</f>
        <v>96</v>
      </c>
      <c r="E30" s="38">
        <v>16</v>
      </c>
      <c r="F30" s="38">
        <v>0.47</v>
      </c>
      <c r="G30" s="112">
        <f t="shared" si="0"/>
        <v>721.92</v>
      </c>
      <c r="H30" s="104">
        <f t="shared" si="1"/>
        <v>19318.04946319463</v>
      </c>
      <c r="I30" s="3"/>
    </row>
    <row r="31" spans="1:9" ht="12.75">
      <c r="A31" s="37"/>
      <c r="B31" s="3" t="s">
        <v>28</v>
      </c>
      <c r="C31" s="35" t="s">
        <v>35</v>
      </c>
      <c r="D31" s="42">
        <f>1418/10</f>
        <v>141.8</v>
      </c>
      <c r="E31" s="38">
        <v>16</v>
      </c>
      <c r="F31" s="38">
        <v>0.47</v>
      </c>
      <c r="G31" s="112">
        <f t="shared" si="0"/>
        <v>1066.336</v>
      </c>
      <c r="H31" s="104">
        <f t="shared" si="1"/>
        <v>28534.368894593736</v>
      </c>
      <c r="I31" s="3"/>
    </row>
    <row r="32" spans="1:9" ht="12.75">
      <c r="A32" s="37"/>
      <c r="B32" s="3" t="s">
        <v>29</v>
      </c>
      <c r="C32" s="35" t="s">
        <v>35</v>
      </c>
      <c r="D32" s="35">
        <f>330/10</f>
        <v>33</v>
      </c>
      <c r="E32" s="38">
        <v>16</v>
      </c>
      <c r="F32" s="38">
        <v>0.47</v>
      </c>
      <c r="G32" s="112">
        <f t="shared" si="0"/>
        <v>248.16</v>
      </c>
      <c r="H32" s="104">
        <f t="shared" si="1"/>
        <v>6640.579502973154</v>
      </c>
      <c r="I32" s="3"/>
    </row>
    <row r="33" spans="1:9" ht="12.75">
      <c r="A33" s="37"/>
      <c r="B33" s="3" t="s">
        <v>30</v>
      </c>
      <c r="C33" s="35" t="s">
        <v>35</v>
      </c>
      <c r="D33" s="35">
        <f>960/10</f>
        <v>96</v>
      </c>
      <c r="E33" s="38">
        <v>16</v>
      </c>
      <c r="F33" s="38">
        <v>0.47</v>
      </c>
      <c r="G33" s="112">
        <f t="shared" si="0"/>
        <v>721.92</v>
      </c>
      <c r="H33" s="104">
        <f t="shared" si="1"/>
        <v>19318.04946319463</v>
      </c>
      <c r="I33" s="3"/>
    </row>
    <row r="34" spans="1:9" ht="12.75">
      <c r="A34" s="49"/>
      <c r="B34" s="3" t="s">
        <v>31</v>
      </c>
      <c r="C34" s="35" t="s">
        <v>35</v>
      </c>
      <c r="D34" s="35">
        <f>2200/10</f>
        <v>220</v>
      </c>
      <c r="E34" s="38">
        <v>8</v>
      </c>
      <c r="F34" s="38">
        <v>0.47</v>
      </c>
      <c r="G34" s="112">
        <f t="shared" si="0"/>
        <v>827.1999999999999</v>
      </c>
      <c r="H34" s="104">
        <f t="shared" si="1"/>
        <v>22135.265009910512</v>
      </c>
      <c r="I34" s="3"/>
    </row>
    <row r="35" spans="1:9" ht="12.75">
      <c r="A35" s="49"/>
      <c r="B35" s="3" t="s">
        <v>32</v>
      </c>
      <c r="C35" s="35" t="s">
        <v>35</v>
      </c>
      <c r="D35" s="42">
        <f>1743/10</f>
        <v>174.3</v>
      </c>
      <c r="E35" s="38">
        <v>8</v>
      </c>
      <c r="F35" s="38">
        <v>0.47</v>
      </c>
      <c r="G35" s="112">
        <f t="shared" si="0"/>
        <v>655.368</v>
      </c>
      <c r="H35" s="104">
        <f t="shared" si="1"/>
        <v>17537.16677830638</v>
      </c>
      <c r="I35" s="3"/>
    </row>
    <row r="36" spans="1:9" ht="12.75">
      <c r="A36" s="49"/>
      <c r="B36" s="3" t="s">
        <v>33</v>
      </c>
      <c r="C36" s="35" t="s">
        <v>35</v>
      </c>
      <c r="D36" s="35">
        <f>2500/10</f>
        <v>250</v>
      </c>
      <c r="E36" s="38">
        <v>4</v>
      </c>
      <c r="F36" s="38">
        <v>0.47</v>
      </c>
      <c r="G36" s="112">
        <f t="shared" si="0"/>
        <v>470</v>
      </c>
      <c r="H36" s="104">
        <f t="shared" si="1"/>
        <v>12576.855119267339</v>
      </c>
      <c r="I36" s="3"/>
    </row>
    <row r="37" spans="1:9" ht="12.75">
      <c r="A37" s="49"/>
      <c r="B37" s="3" t="s">
        <v>34</v>
      </c>
      <c r="C37" s="35" t="s">
        <v>35</v>
      </c>
      <c r="D37" s="35">
        <f>850/10</f>
        <v>85</v>
      </c>
      <c r="E37" s="38">
        <v>4</v>
      </c>
      <c r="F37" s="38">
        <v>0.47</v>
      </c>
      <c r="G37" s="112">
        <f t="shared" si="0"/>
        <v>159.79999999999998</v>
      </c>
      <c r="H37" s="104">
        <f t="shared" si="1"/>
        <v>4276.130740550894</v>
      </c>
      <c r="I37" s="3"/>
    </row>
    <row r="38" spans="1:9" ht="12.75">
      <c r="A38" s="49"/>
      <c r="B38" s="3" t="s">
        <v>280</v>
      </c>
      <c r="C38" s="35" t="s">
        <v>35</v>
      </c>
      <c r="D38" s="35">
        <f>420/10</f>
        <v>42</v>
      </c>
      <c r="E38" s="38">
        <v>4</v>
      </c>
      <c r="F38" s="38">
        <v>0.47</v>
      </c>
      <c r="G38" s="112">
        <f t="shared" si="0"/>
        <v>78.96</v>
      </c>
      <c r="H38" s="104">
        <f t="shared" si="1"/>
        <v>2112.9116600369125</v>
      </c>
      <c r="I38" s="3"/>
    </row>
    <row r="39" spans="1:9" ht="12.75">
      <c r="A39" s="49"/>
      <c r="B39" s="3" t="s">
        <v>281</v>
      </c>
      <c r="C39" s="35" t="s">
        <v>35</v>
      </c>
      <c r="D39" s="35">
        <f>550/10</f>
        <v>55</v>
      </c>
      <c r="E39" s="38">
        <v>4</v>
      </c>
      <c r="F39" s="38">
        <v>0.47</v>
      </c>
      <c r="G39" s="112">
        <f t="shared" si="0"/>
        <v>103.39999999999999</v>
      </c>
      <c r="H39" s="104">
        <f t="shared" si="1"/>
        <v>2766.908126238814</v>
      </c>
      <c r="I39" s="3"/>
    </row>
    <row r="40" spans="1:9" ht="12.75">
      <c r="A40" s="49"/>
      <c r="B40" s="3" t="s">
        <v>282</v>
      </c>
      <c r="C40" s="35" t="s">
        <v>35</v>
      </c>
      <c r="D40" s="35">
        <f>2000/10</f>
        <v>200</v>
      </c>
      <c r="E40" s="38">
        <v>4</v>
      </c>
      <c r="F40" s="38">
        <v>0.47</v>
      </c>
      <c r="G40" s="112">
        <f t="shared" si="0"/>
        <v>376</v>
      </c>
      <c r="H40" s="104">
        <f t="shared" si="1"/>
        <v>10061.48409541387</v>
      </c>
      <c r="I40" s="3"/>
    </row>
    <row r="41" spans="1:9" ht="12.75">
      <c r="A41" s="115">
        <v>2</v>
      </c>
      <c r="B41" s="3" t="s">
        <v>283</v>
      </c>
      <c r="C41" s="35"/>
      <c r="D41" s="35"/>
      <c r="E41" s="38"/>
      <c r="F41" s="38"/>
      <c r="G41" s="112">
        <f t="shared" si="0"/>
        <v>0</v>
      </c>
      <c r="H41" s="104">
        <f t="shared" si="1"/>
        <v>0</v>
      </c>
      <c r="I41" s="3"/>
    </row>
    <row r="42" spans="1:9" ht="12.75">
      <c r="A42" s="49"/>
      <c r="B42" s="3" t="s">
        <v>288</v>
      </c>
      <c r="C42" s="35" t="s">
        <v>43</v>
      </c>
      <c r="D42" s="35">
        <v>160</v>
      </c>
      <c r="E42" s="38">
        <v>6</v>
      </c>
      <c r="F42" s="38">
        <v>0.091</v>
      </c>
      <c r="G42" s="112">
        <f t="shared" si="0"/>
        <v>87.36</v>
      </c>
      <c r="H42" s="104">
        <f t="shared" si="1"/>
        <v>2337.6894962110523</v>
      </c>
      <c r="I42" s="3"/>
    </row>
    <row r="43" spans="1:9" ht="12.75">
      <c r="A43" s="49">
        <v>3</v>
      </c>
      <c r="B43" s="3" t="s">
        <v>36</v>
      </c>
      <c r="C43" s="35" t="s">
        <v>42</v>
      </c>
      <c r="D43" s="35">
        <v>177</v>
      </c>
      <c r="E43" s="37">
        <v>4</v>
      </c>
      <c r="F43" s="37">
        <v>0.91</v>
      </c>
      <c r="G43" s="112">
        <f t="shared" si="0"/>
        <v>644.28</v>
      </c>
      <c r="H43" s="104">
        <f t="shared" si="1"/>
        <v>17240.460034556512</v>
      </c>
      <c r="I43" s="3"/>
    </row>
    <row r="44" spans="1:9" ht="12.75">
      <c r="A44" s="49">
        <v>4</v>
      </c>
      <c r="B44" s="3" t="s">
        <v>37</v>
      </c>
      <c r="C44" s="35" t="s">
        <v>42</v>
      </c>
      <c r="D44" s="35">
        <v>310</v>
      </c>
      <c r="E44" s="37">
        <v>4</v>
      </c>
      <c r="F44" s="37">
        <v>0.3</v>
      </c>
      <c r="G44" s="112">
        <f t="shared" si="0"/>
        <v>372</v>
      </c>
      <c r="H44" s="104">
        <f t="shared" si="1"/>
        <v>9954.447030569041</v>
      </c>
      <c r="I44" s="3"/>
    </row>
    <row r="45" spans="1:9" ht="12.75">
      <c r="A45" s="49">
        <v>5</v>
      </c>
      <c r="B45" s="3" t="s">
        <v>38</v>
      </c>
      <c r="C45" s="35" t="s">
        <v>42</v>
      </c>
      <c r="D45" s="35">
        <v>350</v>
      </c>
      <c r="E45" s="37">
        <v>4</v>
      </c>
      <c r="F45" s="37">
        <v>0.91</v>
      </c>
      <c r="G45" s="112">
        <f t="shared" si="0"/>
        <v>1274</v>
      </c>
      <c r="H45" s="104">
        <f t="shared" si="1"/>
        <v>34091.30515307785</v>
      </c>
      <c r="I45" s="3"/>
    </row>
    <row r="46" spans="1:9" ht="12.75">
      <c r="A46" s="49">
        <v>6</v>
      </c>
      <c r="B46" s="3" t="s">
        <v>39</v>
      </c>
      <c r="C46" s="35" t="s">
        <v>43</v>
      </c>
      <c r="D46" s="44">
        <v>27.7</v>
      </c>
      <c r="E46" s="37">
        <v>3</v>
      </c>
      <c r="F46" s="37">
        <v>6.25</v>
      </c>
      <c r="G46" s="112">
        <f t="shared" si="0"/>
        <v>519.375</v>
      </c>
      <c r="H46" s="104">
        <f t="shared" si="1"/>
        <v>13898.093888445688</v>
      </c>
      <c r="I46" s="3"/>
    </row>
    <row r="47" spans="1:9" ht="12.75">
      <c r="A47" s="49">
        <v>7</v>
      </c>
      <c r="B47" s="3" t="s">
        <v>40</v>
      </c>
      <c r="C47" s="35" t="s">
        <v>43</v>
      </c>
      <c r="D47" s="34">
        <v>97.04</v>
      </c>
      <c r="E47" s="37">
        <v>3</v>
      </c>
      <c r="F47" s="37">
        <v>0.31</v>
      </c>
      <c r="G47" s="112">
        <f t="shared" si="0"/>
        <v>90.2472</v>
      </c>
      <c r="H47" s="104">
        <f t="shared" si="1"/>
        <v>2414.9488496160498</v>
      </c>
      <c r="I47" s="3"/>
    </row>
    <row r="48" spans="1:9" ht="12.75">
      <c r="A48" s="49">
        <v>8</v>
      </c>
      <c r="B48" s="3" t="s">
        <v>177</v>
      </c>
      <c r="C48" s="35" t="s">
        <v>43</v>
      </c>
      <c r="D48" s="34">
        <v>61.18</v>
      </c>
      <c r="E48" s="37">
        <v>32</v>
      </c>
      <c r="F48" s="37">
        <v>0.162</v>
      </c>
      <c r="G48" s="112">
        <f t="shared" si="0"/>
        <v>317.15712</v>
      </c>
      <c r="H48" s="104">
        <f t="shared" si="1"/>
        <v>8486.891804859757</v>
      </c>
      <c r="I48" s="3"/>
    </row>
    <row r="49" spans="1:9" ht="12.75">
      <c r="A49" s="49">
        <v>9</v>
      </c>
      <c r="B49" s="3" t="s">
        <v>284</v>
      </c>
      <c r="C49" s="35" t="s">
        <v>185</v>
      </c>
      <c r="D49" s="42">
        <v>10</v>
      </c>
      <c r="E49" s="37">
        <v>2</v>
      </c>
      <c r="F49" s="37">
        <v>1.1</v>
      </c>
      <c r="G49" s="112">
        <f t="shared" si="0"/>
        <v>22</v>
      </c>
      <c r="H49" s="104">
        <f t="shared" si="1"/>
        <v>588.7038566465562</v>
      </c>
      <c r="I49" s="3"/>
    </row>
    <row r="50" spans="1:9" ht="12.75">
      <c r="A50" s="49">
        <v>10</v>
      </c>
      <c r="B50" s="3" t="s">
        <v>285</v>
      </c>
      <c r="C50" s="35" t="s">
        <v>186</v>
      </c>
      <c r="D50" s="42">
        <v>100</v>
      </c>
      <c r="E50" s="37">
        <v>2</v>
      </c>
      <c r="F50" s="37">
        <v>0.37</v>
      </c>
      <c r="G50" s="112">
        <f t="shared" si="0"/>
        <v>74</v>
      </c>
      <c r="H50" s="104">
        <f t="shared" si="1"/>
        <v>1980.1856996293254</v>
      </c>
      <c r="I50" s="3"/>
    </row>
    <row r="51" spans="1:9" ht="12.75">
      <c r="A51" s="49">
        <v>11</v>
      </c>
      <c r="B51" s="3" t="s">
        <v>370</v>
      </c>
      <c r="C51" s="35" t="s">
        <v>199</v>
      </c>
      <c r="D51" s="42">
        <v>70</v>
      </c>
      <c r="E51" s="37">
        <v>1</v>
      </c>
      <c r="F51" s="37">
        <v>1.3</v>
      </c>
      <c r="G51" s="112">
        <f t="shared" si="0"/>
        <v>91</v>
      </c>
      <c r="H51" s="104">
        <f t="shared" si="1"/>
        <v>2435.0932252198463</v>
      </c>
      <c r="I51" s="3"/>
    </row>
    <row r="52" spans="1:9" ht="12.75">
      <c r="A52" s="49"/>
      <c r="B52" s="3" t="s">
        <v>286</v>
      </c>
      <c r="C52" s="35"/>
      <c r="D52" s="42"/>
      <c r="E52" s="37"/>
      <c r="F52" s="37"/>
      <c r="G52" s="112">
        <f t="shared" si="0"/>
        <v>0</v>
      </c>
      <c r="H52" s="104">
        <f t="shared" si="1"/>
        <v>0</v>
      </c>
      <c r="I52" s="3"/>
    </row>
    <row r="53" spans="1:9" ht="12.75">
      <c r="A53" s="49"/>
      <c r="B53" s="3" t="s">
        <v>287</v>
      </c>
      <c r="C53" s="35"/>
      <c r="D53" s="42"/>
      <c r="E53" s="37"/>
      <c r="F53" s="37"/>
      <c r="G53" s="112">
        <f t="shared" si="0"/>
        <v>0</v>
      </c>
      <c r="H53" s="104">
        <f t="shared" si="1"/>
        <v>0</v>
      </c>
      <c r="I53" s="3"/>
    </row>
    <row r="54" spans="1:9" ht="12.75">
      <c r="A54" s="49">
        <v>12</v>
      </c>
      <c r="B54" s="3" t="s">
        <v>270</v>
      </c>
      <c r="C54" s="35" t="s">
        <v>48</v>
      </c>
      <c r="D54" s="114">
        <f>16*4</f>
        <v>64</v>
      </c>
      <c r="E54" s="37">
        <v>10</v>
      </c>
      <c r="F54" s="37">
        <v>1</v>
      </c>
      <c r="G54" s="112">
        <f t="shared" si="0"/>
        <v>640</v>
      </c>
      <c r="H54" s="104">
        <f t="shared" si="1"/>
        <v>17125.930375172546</v>
      </c>
      <c r="I54" s="3"/>
    </row>
    <row r="55" spans="1:9" ht="12.75">
      <c r="A55" s="49"/>
      <c r="B55" s="3" t="s">
        <v>267</v>
      </c>
      <c r="C55" s="35" t="s">
        <v>48</v>
      </c>
      <c r="D55" s="42">
        <f>54+104+3</f>
        <v>161</v>
      </c>
      <c r="E55" s="37">
        <v>1</v>
      </c>
      <c r="F55" s="37">
        <v>1</v>
      </c>
      <c r="G55" s="112">
        <f t="shared" si="0"/>
        <v>161</v>
      </c>
      <c r="H55" s="104">
        <f t="shared" si="1"/>
        <v>4308.241860004344</v>
      </c>
      <c r="I55" s="3"/>
    </row>
    <row r="56" spans="1:9" ht="12.75">
      <c r="A56" s="49"/>
      <c r="B56" s="3" t="s">
        <v>268</v>
      </c>
      <c r="C56" s="35" t="s">
        <v>48</v>
      </c>
      <c r="D56" s="42">
        <f>64+80+3</f>
        <v>147</v>
      </c>
      <c r="E56" s="37">
        <v>1</v>
      </c>
      <c r="F56" s="37">
        <v>1</v>
      </c>
      <c r="G56" s="112">
        <f t="shared" si="0"/>
        <v>147</v>
      </c>
      <c r="H56" s="104">
        <f t="shared" si="1"/>
        <v>3933.612133047444</v>
      </c>
      <c r="I56" s="3"/>
    </row>
    <row r="57" spans="1:9" ht="12.75">
      <c r="A57" s="49"/>
      <c r="B57" s="3" t="s">
        <v>269</v>
      </c>
      <c r="C57" s="35" t="s">
        <v>48</v>
      </c>
      <c r="D57" s="42">
        <f>48+4</f>
        <v>52</v>
      </c>
      <c r="E57" s="37">
        <v>1</v>
      </c>
      <c r="F57" s="37">
        <v>1</v>
      </c>
      <c r="G57" s="112">
        <f t="shared" si="0"/>
        <v>52</v>
      </c>
      <c r="H57" s="104">
        <f t="shared" si="1"/>
        <v>1391.4818429827692</v>
      </c>
      <c r="I57" s="3"/>
    </row>
    <row r="58" spans="1:9" ht="12.75">
      <c r="A58" s="49"/>
      <c r="B58" s="3" t="s">
        <v>279</v>
      </c>
      <c r="C58" s="35" t="s">
        <v>48</v>
      </c>
      <c r="D58" s="42">
        <f>96+4</f>
        <v>100</v>
      </c>
      <c r="E58" s="37">
        <v>1</v>
      </c>
      <c r="F58" s="37">
        <v>1</v>
      </c>
      <c r="G58" s="112">
        <f t="shared" si="0"/>
        <v>100</v>
      </c>
      <c r="H58" s="104">
        <f t="shared" si="1"/>
        <v>2675.92662112071</v>
      </c>
      <c r="I58" s="3"/>
    </row>
    <row r="59" spans="1:9" ht="12.75">
      <c r="A59" s="49"/>
      <c r="B59" s="3" t="s">
        <v>271</v>
      </c>
      <c r="C59" s="35" t="s">
        <v>48</v>
      </c>
      <c r="D59" s="42">
        <f>96+144</f>
        <v>240</v>
      </c>
      <c r="E59" s="37">
        <v>1</v>
      </c>
      <c r="F59" s="37">
        <v>1</v>
      </c>
      <c r="G59" s="112">
        <f t="shared" si="0"/>
        <v>240</v>
      </c>
      <c r="H59" s="104">
        <f t="shared" si="1"/>
        <v>6422.223890689705</v>
      </c>
      <c r="I59" s="3"/>
    </row>
    <row r="60" spans="1:9" ht="25.5">
      <c r="A60" s="49">
        <v>13</v>
      </c>
      <c r="B60" s="48" t="s">
        <v>41</v>
      </c>
      <c r="C60" s="35"/>
      <c r="D60" s="35"/>
      <c r="E60" s="37"/>
      <c r="F60" s="37"/>
      <c r="G60" s="112">
        <f t="shared" si="0"/>
        <v>0</v>
      </c>
      <c r="H60" s="104">
        <f t="shared" si="1"/>
        <v>0</v>
      </c>
      <c r="I60" s="3"/>
    </row>
    <row r="61" spans="1:9" ht="12.75">
      <c r="A61" s="3"/>
      <c r="B61" s="3" t="s">
        <v>22</v>
      </c>
      <c r="C61" s="35" t="s">
        <v>43</v>
      </c>
      <c r="D61" s="44">
        <f>12000/100</f>
        <v>120</v>
      </c>
      <c r="E61" s="38">
        <v>24</v>
      </c>
      <c r="F61" s="38">
        <v>0.23</v>
      </c>
      <c r="G61" s="112">
        <f t="shared" si="0"/>
        <v>662.4</v>
      </c>
      <c r="H61" s="104">
        <f t="shared" si="1"/>
        <v>17725.337938303583</v>
      </c>
      <c r="I61" s="3"/>
    </row>
    <row r="62" spans="1:9" ht="12.75">
      <c r="A62" s="49"/>
      <c r="B62" s="3" t="s">
        <v>23</v>
      </c>
      <c r="C62" s="35" t="s">
        <v>43</v>
      </c>
      <c r="D62" s="44">
        <f>6500/100</f>
        <v>65</v>
      </c>
      <c r="E62" s="38">
        <v>24</v>
      </c>
      <c r="F62" s="38">
        <v>0.23</v>
      </c>
      <c r="G62" s="112">
        <f t="shared" si="0"/>
        <v>358.8</v>
      </c>
      <c r="H62" s="104">
        <f t="shared" si="1"/>
        <v>9601.224716581108</v>
      </c>
      <c r="I62" s="3"/>
    </row>
    <row r="63" spans="1:9" ht="12.75">
      <c r="A63" s="49"/>
      <c r="B63" s="3" t="s">
        <v>24</v>
      </c>
      <c r="C63" s="35" t="s">
        <v>43</v>
      </c>
      <c r="D63" s="35">
        <f>5166/100</f>
        <v>51.66</v>
      </c>
      <c r="E63" s="38">
        <v>24</v>
      </c>
      <c r="F63" s="38">
        <v>0.23</v>
      </c>
      <c r="G63" s="112">
        <f t="shared" si="0"/>
        <v>285.1632</v>
      </c>
      <c r="H63" s="104">
        <f t="shared" si="1"/>
        <v>7630.7579824396935</v>
      </c>
      <c r="I63" s="3"/>
    </row>
    <row r="64" spans="1:9" ht="12.75">
      <c r="A64" s="49"/>
      <c r="B64" s="3" t="s">
        <v>25</v>
      </c>
      <c r="C64" s="35" t="s">
        <v>43</v>
      </c>
      <c r="D64" s="35">
        <f>1050/100</f>
        <v>10.5</v>
      </c>
      <c r="E64" s="38">
        <v>24</v>
      </c>
      <c r="F64" s="38">
        <v>0.23</v>
      </c>
      <c r="G64" s="112">
        <f t="shared" si="0"/>
        <v>57.96</v>
      </c>
      <c r="H64" s="104">
        <f t="shared" si="1"/>
        <v>1550.9670696015637</v>
      </c>
      <c r="I64" s="3"/>
    </row>
    <row r="65" spans="1:9" ht="12.75">
      <c r="A65" s="49"/>
      <c r="B65" s="3" t="s">
        <v>26</v>
      </c>
      <c r="C65" s="35" t="s">
        <v>43</v>
      </c>
      <c r="D65" s="35">
        <v>70.26</v>
      </c>
      <c r="E65" s="38">
        <v>24</v>
      </c>
      <c r="F65" s="38">
        <v>0.23</v>
      </c>
      <c r="G65" s="112">
        <f t="shared" si="0"/>
        <v>387.83520000000004</v>
      </c>
      <c r="H65" s="104">
        <f t="shared" si="1"/>
        <v>10378.18536287675</v>
      </c>
      <c r="I65" s="3"/>
    </row>
    <row r="66" spans="1:9" ht="12.75">
      <c r="A66" s="49"/>
      <c r="B66" s="3" t="s">
        <v>27</v>
      </c>
      <c r="C66" s="35" t="s">
        <v>43</v>
      </c>
      <c r="D66" s="35">
        <v>40.26</v>
      </c>
      <c r="E66" s="38">
        <v>24</v>
      </c>
      <c r="F66" s="38">
        <v>0.23</v>
      </c>
      <c r="G66" s="112">
        <f t="shared" si="0"/>
        <v>222.23520000000002</v>
      </c>
      <c r="H66" s="104">
        <f t="shared" si="1"/>
        <v>5946.850878300853</v>
      </c>
      <c r="I66" s="3"/>
    </row>
    <row r="67" spans="1:9" ht="12.75">
      <c r="A67" s="49"/>
      <c r="B67" s="3" t="s">
        <v>28</v>
      </c>
      <c r="C67" s="35" t="s">
        <v>43</v>
      </c>
      <c r="D67" s="44">
        <v>66</v>
      </c>
      <c r="E67" s="38">
        <v>24</v>
      </c>
      <c r="F67" s="38">
        <v>0.23</v>
      </c>
      <c r="G67" s="112">
        <f t="shared" si="0"/>
        <v>364.32</v>
      </c>
      <c r="H67" s="104">
        <f t="shared" si="1"/>
        <v>9748.935866066971</v>
      </c>
      <c r="I67" s="3"/>
    </row>
    <row r="68" spans="1:9" ht="12.75">
      <c r="A68" s="49"/>
      <c r="B68" s="3" t="s">
        <v>29</v>
      </c>
      <c r="C68" s="35" t="s">
        <v>43</v>
      </c>
      <c r="D68" s="44">
        <v>19.8</v>
      </c>
      <c r="E68" s="38">
        <v>24</v>
      </c>
      <c r="F68" s="38">
        <v>0.23</v>
      </c>
      <c r="G68" s="112">
        <f t="shared" si="0"/>
        <v>109.29600000000002</v>
      </c>
      <c r="H68" s="104">
        <f t="shared" si="1"/>
        <v>2924.680759820092</v>
      </c>
      <c r="I68" s="3"/>
    </row>
    <row r="69" spans="1:9" ht="12.75">
      <c r="A69" s="49"/>
      <c r="B69" s="3" t="s">
        <v>30</v>
      </c>
      <c r="C69" s="35" t="s">
        <v>43</v>
      </c>
      <c r="D69" s="35">
        <v>28.8</v>
      </c>
      <c r="E69" s="38">
        <v>24</v>
      </c>
      <c r="F69" s="38">
        <v>0.23</v>
      </c>
      <c r="G69" s="112">
        <f t="shared" si="0"/>
        <v>158.97600000000003</v>
      </c>
      <c r="H69" s="104">
        <f t="shared" si="1"/>
        <v>4254.081105192861</v>
      </c>
      <c r="I69" s="3"/>
    </row>
    <row r="70" spans="1:9" ht="12.75">
      <c r="A70" s="49"/>
      <c r="B70" s="3" t="s">
        <v>31</v>
      </c>
      <c r="C70" s="35" t="s">
        <v>43</v>
      </c>
      <c r="D70" s="44">
        <v>20</v>
      </c>
      <c r="E70" s="38">
        <v>24</v>
      </c>
      <c r="F70" s="38">
        <v>0.23</v>
      </c>
      <c r="G70" s="112">
        <f t="shared" si="0"/>
        <v>110.4</v>
      </c>
      <c r="H70" s="104">
        <f t="shared" si="1"/>
        <v>2954.222989717264</v>
      </c>
      <c r="I70" s="3"/>
    </row>
    <row r="71" spans="1:9" ht="12.75">
      <c r="A71" s="49"/>
      <c r="B71" s="3" t="s">
        <v>44</v>
      </c>
      <c r="C71" s="35" t="s">
        <v>43</v>
      </c>
      <c r="D71" s="35">
        <v>36.68</v>
      </c>
      <c r="E71" s="38">
        <v>24</v>
      </c>
      <c r="F71" s="38">
        <v>0.23</v>
      </c>
      <c r="G71" s="112">
        <f t="shared" si="0"/>
        <v>202.4736</v>
      </c>
      <c r="H71" s="104">
        <f t="shared" si="1"/>
        <v>5418.044963141462</v>
      </c>
      <c r="I71" s="3"/>
    </row>
    <row r="72" spans="1:9" ht="12.75">
      <c r="A72" s="49"/>
      <c r="B72" s="3" t="s">
        <v>45</v>
      </c>
      <c r="C72" s="35" t="s">
        <v>43</v>
      </c>
      <c r="D72" s="35">
        <v>11.57</v>
      </c>
      <c r="E72" s="38">
        <v>24</v>
      </c>
      <c r="F72" s="38">
        <v>0.23</v>
      </c>
      <c r="G72" s="112">
        <f t="shared" si="0"/>
        <v>63.866400000000006</v>
      </c>
      <c r="H72" s="104">
        <f t="shared" si="1"/>
        <v>1709.0179995514375</v>
      </c>
      <c r="I72" s="3"/>
    </row>
    <row r="73" spans="1:9" ht="12.75">
      <c r="A73" s="49"/>
      <c r="B73" s="3" t="s">
        <v>46</v>
      </c>
      <c r="C73" s="35" t="s">
        <v>43</v>
      </c>
      <c r="D73" s="35">
        <v>11.42</v>
      </c>
      <c r="E73" s="38">
        <v>24</v>
      </c>
      <c r="F73" s="38">
        <v>0.23</v>
      </c>
      <c r="G73" s="112">
        <f t="shared" si="0"/>
        <v>63.038399999999996</v>
      </c>
      <c r="H73" s="104">
        <f t="shared" si="1"/>
        <v>1686.8613271285576</v>
      </c>
      <c r="I73" s="3"/>
    </row>
    <row r="74" spans="1:9" ht="12.75">
      <c r="A74" s="49"/>
      <c r="B74" s="3" t="s">
        <v>33</v>
      </c>
      <c r="C74" s="35" t="s">
        <v>43</v>
      </c>
      <c r="D74" s="35">
        <v>17.5</v>
      </c>
      <c r="E74" s="38">
        <v>24</v>
      </c>
      <c r="F74" s="38">
        <v>0.23</v>
      </c>
      <c r="G74" s="112">
        <f t="shared" si="0"/>
        <v>96.60000000000001</v>
      </c>
      <c r="H74" s="104">
        <f t="shared" si="1"/>
        <v>2584.9451160026065</v>
      </c>
      <c r="I74" s="3"/>
    </row>
    <row r="75" spans="1:9" ht="12.75">
      <c r="A75" s="49"/>
      <c r="B75" s="3" t="s">
        <v>34</v>
      </c>
      <c r="C75" s="35" t="s">
        <v>43</v>
      </c>
      <c r="D75" s="35">
        <v>11.48</v>
      </c>
      <c r="E75" s="38">
        <v>24</v>
      </c>
      <c r="F75" s="38">
        <v>0.23</v>
      </c>
      <c r="G75" s="112">
        <f t="shared" si="0"/>
        <v>63.3696</v>
      </c>
      <c r="H75" s="104">
        <f t="shared" si="1"/>
        <v>1695.7239960977095</v>
      </c>
      <c r="I75" s="3"/>
    </row>
    <row r="76" spans="1:9" ht="25.5">
      <c r="A76" s="49">
        <v>14</v>
      </c>
      <c r="B76" s="48" t="s">
        <v>290</v>
      </c>
      <c r="C76" s="35"/>
      <c r="D76" s="35"/>
      <c r="E76" s="38"/>
      <c r="F76" s="38"/>
      <c r="G76" s="112">
        <f t="shared" si="0"/>
        <v>0</v>
      </c>
      <c r="H76" s="104">
        <f t="shared" si="1"/>
        <v>0</v>
      </c>
      <c r="I76" s="3"/>
    </row>
    <row r="77" spans="1:9" ht="12.75">
      <c r="A77" s="49"/>
      <c r="B77" s="3" t="s">
        <v>226</v>
      </c>
      <c r="C77" s="35" t="s">
        <v>43</v>
      </c>
      <c r="D77" s="35">
        <v>194.25</v>
      </c>
      <c r="E77" s="60">
        <v>24</v>
      </c>
      <c r="F77" s="60">
        <v>0.23</v>
      </c>
      <c r="G77" s="112">
        <f t="shared" si="0"/>
        <v>1072.26</v>
      </c>
      <c r="H77" s="104">
        <f t="shared" si="1"/>
        <v>28692.890787628927</v>
      </c>
      <c r="I77" s="3"/>
    </row>
    <row r="78" spans="1:9" ht="12.75">
      <c r="A78" s="49"/>
      <c r="B78" s="3" t="s">
        <v>227</v>
      </c>
      <c r="C78" s="35" t="s">
        <v>43</v>
      </c>
      <c r="D78" s="35">
        <v>272.02</v>
      </c>
      <c r="E78" s="60">
        <v>24</v>
      </c>
      <c r="F78" s="60">
        <v>0.23</v>
      </c>
      <c r="G78" s="112">
        <f t="shared" si="0"/>
        <v>1501.5503999999999</v>
      </c>
      <c r="H78" s="104">
        <f t="shared" si="1"/>
        <v>40180.38688314451</v>
      </c>
      <c r="I78" s="3"/>
    </row>
    <row r="79" spans="1:9" ht="12.75">
      <c r="A79" s="49"/>
      <c r="B79" s="3" t="s">
        <v>228</v>
      </c>
      <c r="C79" s="35" t="s">
        <v>43</v>
      </c>
      <c r="D79" s="35">
        <v>112.38</v>
      </c>
      <c r="E79" s="60">
        <v>24</v>
      </c>
      <c r="F79" s="60">
        <v>0.23</v>
      </c>
      <c r="G79" s="112">
        <f t="shared" si="0"/>
        <v>620.3376</v>
      </c>
      <c r="H79" s="104">
        <f t="shared" si="1"/>
        <v>16599.778979221304</v>
      </c>
      <c r="I79" s="3"/>
    </row>
    <row r="80" spans="1:9" ht="12.75">
      <c r="A80" s="49"/>
      <c r="B80" s="3" t="s">
        <v>229</v>
      </c>
      <c r="C80" s="35" t="s">
        <v>43</v>
      </c>
      <c r="D80" s="35">
        <v>182.48</v>
      </c>
      <c r="E80" s="60">
        <v>24</v>
      </c>
      <c r="F80" s="60">
        <v>0.23</v>
      </c>
      <c r="G80" s="112">
        <f t="shared" si="0"/>
        <v>1007.2896</v>
      </c>
      <c r="H80" s="104">
        <f t="shared" si="1"/>
        <v>26954.330558180314</v>
      </c>
      <c r="I80" s="3"/>
    </row>
    <row r="81" spans="1:9" ht="27" customHeight="1">
      <c r="A81" s="49">
        <v>15</v>
      </c>
      <c r="B81" s="66" t="s">
        <v>230</v>
      </c>
      <c r="C81" s="46" t="s">
        <v>43</v>
      </c>
      <c r="D81" s="46">
        <v>61.18</v>
      </c>
      <c r="E81" s="37">
        <v>20</v>
      </c>
      <c r="F81" s="37">
        <v>1.43</v>
      </c>
      <c r="G81" s="112">
        <f t="shared" si="0"/>
        <v>1749.7479999999998</v>
      </c>
      <c r="H81" s="104">
        <f t="shared" si="1"/>
        <v>46821.9725345272</v>
      </c>
      <c r="I81" s="3"/>
    </row>
    <row r="82" spans="1:9" ht="14.25" customHeight="1">
      <c r="A82" s="49">
        <v>16</v>
      </c>
      <c r="B82" s="3" t="s">
        <v>47</v>
      </c>
      <c r="C82" s="35" t="s">
        <v>178</v>
      </c>
      <c r="D82" s="35">
        <v>100</v>
      </c>
      <c r="E82" s="37">
        <v>1</v>
      </c>
      <c r="F82" s="37">
        <v>1.35</v>
      </c>
      <c r="G82" s="112">
        <f t="shared" si="0"/>
        <v>135</v>
      </c>
      <c r="H82" s="104">
        <f t="shared" si="1"/>
        <v>3612.500938512959</v>
      </c>
      <c r="I82" s="3"/>
    </row>
    <row r="83" spans="1:9" ht="25.5" customHeight="1">
      <c r="A83" s="49">
        <v>17</v>
      </c>
      <c r="B83" s="84" t="s">
        <v>311</v>
      </c>
      <c r="C83" s="46" t="s">
        <v>43</v>
      </c>
      <c r="D83" s="46">
        <v>8.5</v>
      </c>
      <c r="E83" s="64">
        <v>20</v>
      </c>
      <c r="F83" s="64">
        <v>1.43</v>
      </c>
      <c r="G83" s="112">
        <f t="shared" si="0"/>
        <v>243.1</v>
      </c>
      <c r="H83" s="104">
        <f t="shared" si="1"/>
        <v>6505.177615944446</v>
      </c>
      <c r="I83" s="3"/>
    </row>
    <row r="84" spans="1:9" ht="13.5" customHeight="1">
      <c r="A84" s="49">
        <v>18</v>
      </c>
      <c r="B84" s="84" t="s">
        <v>289</v>
      </c>
      <c r="C84" s="35"/>
      <c r="D84" s="35"/>
      <c r="E84" s="37"/>
      <c r="F84" s="37"/>
      <c r="G84" s="112">
        <f t="shared" si="0"/>
        <v>0</v>
      </c>
      <c r="H84" s="104">
        <f t="shared" si="1"/>
        <v>0</v>
      </c>
      <c r="I84" s="3"/>
    </row>
    <row r="85" spans="1:9" ht="12.75">
      <c r="A85" s="49"/>
      <c r="B85" s="3" t="s">
        <v>33</v>
      </c>
      <c r="C85" s="35" t="s">
        <v>43</v>
      </c>
      <c r="D85" s="35">
        <v>17.5</v>
      </c>
      <c r="E85" s="37">
        <v>10</v>
      </c>
      <c r="F85" s="37">
        <v>1.43</v>
      </c>
      <c r="G85" s="112">
        <f t="shared" si="0"/>
        <v>250.25</v>
      </c>
      <c r="H85" s="104">
        <f t="shared" si="1"/>
        <v>6696.506369354577</v>
      </c>
      <c r="I85" s="3"/>
    </row>
    <row r="86" spans="1:9" ht="12.75">
      <c r="A86" s="49"/>
      <c r="B86" s="3" t="s">
        <v>34</v>
      </c>
      <c r="C86" s="35" t="s">
        <v>43</v>
      </c>
      <c r="D86" s="35">
        <v>5.95</v>
      </c>
      <c r="E86" s="37">
        <v>10</v>
      </c>
      <c r="F86" s="37">
        <v>1.43</v>
      </c>
      <c r="G86" s="112">
        <f t="shared" si="0"/>
        <v>85.085</v>
      </c>
      <c r="H86" s="104">
        <f t="shared" si="1"/>
        <v>2276.812165580556</v>
      </c>
      <c r="I86" s="3"/>
    </row>
    <row r="87" spans="1:9" ht="12.75">
      <c r="A87" s="49">
        <v>19</v>
      </c>
      <c r="B87" s="113" t="s">
        <v>242</v>
      </c>
      <c r="C87" s="35" t="s">
        <v>48</v>
      </c>
      <c r="D87" s="35">
        <f>24*6</f>
        <v>144</v>
      </c>
      <c r="E87" s="35">
        <v>1</v>
      </c>
      <c r="F87" s="35">
        <v>36</v>
      </c>
      <c r="G87" s="112">
        <f t="shared" si="0"/>
        <v>5184</v>
      </c>
      <c r="H87" s="104">
        <f t="shared" si="1"/>
        <v>138720.0360388976</v>
      </c>
      <c r="I87" s="3"/>
    </row>
    <row r="88" spans="1:9" ht="12.75">
      <c r="A88" s="49"/>
      <c r="B88" s="2" t="s">
        <v>243</v>
      </c>
      <c r="C88" s="3"/>
      <c r="D88" s="35"/>
      <c r="E88" s="35"/>
      <c r="F88" s="35"/>
      <c r="G88" s="31">
        <f>SUM(G25:G87)</f>
        <v>29229.245519999993</v>
      </c>
      <c r="H88" s="111">
        <f>SUM(H25:H87)</f>
        <v>782153.1620224124</v>
      </c>
      <c r="I88" s="3"/>
    </row>
    <row r="89" spans="1:9" ht="21" customHeight="1">
      <c r="A89" s="49"/>
      <c r="B89" s="181" t="s">
        <v>10</v>
      </c>
      <c r="C89" s="182"/>
      <c r="D89" s="182"/>
      <c r="E89" s="182"/>
      <c r="F89" s="182"/>
      <c r="G89" s="182"/>
      <c r="H89" s="182"/>
      <c r="I89" s="183"/>
    </row>
    <row r="90" spans="1:9" ht="12.75">
      <c r="A90" s="49">
        <v>20</v>
      </c>
      <c r="B90" s="2" t="s">
        <v>305</v>
      </c>
      <c r="C90" s="37"/>
      <c r="D90" s="29"/>
      <c r="E90" s="37"/>
      <c r="F90" s="37"/>
      <c r="G90" s="77"/>
      <c r="H90" s="104">
        <f>1023079.45/40901.718*G90</f>
        <v>0</v>
      </c>
      <c r="I90" s="3"/>
    </row>
    <row r="91" spans="1:9" ht="12.75">
      <c r="A91" s="49"/>
      <c r="B91" s="61" t="s">
        <v>303</v>
      </c>
      <c r="C91" s="37" t="s">
        <v>43</v>
      </c>
      <c r="D91" s="37">
        <v>5.03</v>
      </c>
      <c r="E91" s="37">
        <v>16</v>
      </c>
      <c r="F91" s="37">
        <v>1.43</v>
      </c>
      <c r="G91" s="112">
        <f>D91*E91*F91</f>
        <v>115.0864</v>
      </c>
      <c r="H91" s="104">
        <f aca="true" t="shared" si="2" ref="H91:H96">890300/33270.718*G91</f>
        <v>3079.627614889465</v>
      </c>
      <c r="I91" s="3"/>
    </row>
    <row r="92" spans="1:9" ht="12.75">
      <c r="A92" s="49"/>
      <c r="B92" s="61" t="s">
        <v>304</v>
      </c>
      <c r="C92" s="37" t="s">
        <v>43</v>
      </c>
      <c r="D92" s="37">
        <v>1.56</v>
      </c>
      <c r="E92" s="37">
        <v>16</v>
      </c>
      <c r="F92" s="37">
        <v>1.43</v>
      </c>
      <c r="G92" s="112">
        <f>D92*E92*F92</f>
        <v>35.6928</v>
      </c>
      <c r="H92" s="104">
        <f t="shared" si="2"/>
        <v>955.1131370233728</v>
      </c>
      <c r="I92" s="3"/>
    </row>
    <row r="93" spans="1:9" ht="12.75">
      <c r="A93" s="49">
        <v>21</v>
      </c>
      <c r="B93" s="98" t="s">
        <v>302</v>
      </c>
      <c r="C93" s="37"/>
      <c r="D93" s="29"/>
      <c r="E93" s="37"/>
      <c r="F93" s="37"/>
      <c r="G93" s="78"/>
      <c r="H93" s="104">
        <f t="shared" si="2"/>
        <v>0</v>
      </c>
      <c r="I93" s="3"/>
    </row>
    <row r="94" spans="1:9" ht="12.75">
      <c r="A94" s="49"/>
      <c r="B94" s="2" t="s">
        <v>301</v>
      </c>
      <c r="C94" s="37"/>
      <c r="D94" s="29"/>
      <c r="E94" s="37"/>
      <c r="F94" s="37"/>
      <c r="G94" s="78"/>
      <c r="H94" s="104">
        <f t="shared" si="2"/>
        <v>0</v>
      </c>
      <c r="I94" s="3"/>
    </row>
    <row r="95" spans="1:9" ht="12.75">
      <c r="A95" s="49"/>
      <c r="B95" s="61" t="s">
        <v>303</v>
      </c>
      <c r="C95" s="37" t="s">
        <v>50</v>
      </c>
      <c r="D95" s="43">
        <v>30</v>
      </c>
      <c r="E95" s="37">
        <v>16</v>
      </c>
      <c r="F95" s="37">
        <v>0.47</v>
      </c>
      <c r="G95" s="78">
        <f>D95*E95*F95</f>
        <v>225.6</v>
      </c>
      <c r="H95" s="104">
        <f t="shared" si="2"/>
        <v>6036.890457248322</v>
      </c>
      <c r="I95" s="3"/>
    </row>
    <row r="96" spans="1:10" ht="12.75">
      <c r="A96" s="49"/>
      <c r="B96" s="61" t="s">
        <v>304</v>
      </c>
      <c r="C96" s="37" t="s">
        <v>50</v>
      </c>
      <c r="D96" s="43">
        <v>14.64</v>
      </c>
      <c r="E96" s="37">
        <v>16</v>
      </c>
      <c r="F96" s="37">
        <v>0.47</v>
      </c>
      <c r="G96" s="78">
        <f>D96*E96*F96</f>
        <v>110.0928</v>
      </c>
      <c r="H96" s="104">
        <f t="shared" si="2"/>
        <v>2946.002543137181</v>
      </c>
      <c r="I96" s="3"/>
      <c r="J96" s="11"/>
    </row>
    <row r="97" spans="1:9" ht="12.75">
      <c r="A97" s="49"/>
      <c r="B97" s="98" t="s">
        <v>243</v>
      </c>
      <c r="C97" s="29"/>
      <c r="D97" s="56"/>
      <c r="E97" s="29"/>
      <c r="F97" s="29"/>
      <c r="G97" s="31">
        <f>SUM(G91:G96)</f>
        <v>486.472</v>
      </c>
      <c r="H97" s="111">
        <f>SUM(H91:H96)</f>
        <v>13017.633752298341</v>
      </c>
      <c r="I97" s="2"/>
    </row>
    <row r="98" spans="1:248" s="105" customFormat="1" ht="12.75">
      <c r="A98" s="110">
        <v>22</v>
      </c>
      <c r="B98" s="5" t="s">
        <v>387</v>
      </c>
      <c r="C98" s="90"/>
      <c r="D98" s="73"/>
      <c r="E98" s="109"/>
      <c r="F98" s="109"/>
      <c r="G98" s="102" t="s">
        <v>264</v>
      </c>
      <c r="H98" s="108"/>
      <c r="I98" s="73"/>
      <c r="J98" s="6"/>
      <c r="M98" s="106"/>
      <c r="N98" s="106"/>
      <c r="O98" s="106"/>
      <c r="P98" s="106"/>
      <c r="Q98" s="17"/>
      <c r="R98" s="107"/>
      <c r="U98" s="106"/>
      <c r="V98" s="106"/>
      <c r="W98" s="106"/>
      <c r="X98" s="106"/>
      <c r="Y98" s="17"/>
      <c r="Z98" s="107"/>
      <c r="AC98" s="106"/>
      <c r="AD98" s="106"/>
      <c r="AE98" s="106"/>
      <c r="AF98" s="106"/>
      <c r="AG98" s="17"/>
      <c r="AH98" s="107"/>
      <c r="AK98" s="106"/>
      <c r="AL98" s="106"/>
      <c r="AM98" s="106"/>
      <c r="AN98" s="106"/>
      <c r="AO98" s="17"/>
      <c r="AP98" s="107"/>
      <c r="AS98" s="106"/>
      <c r="AT98" s="106"/>
      <c r="AU98" s="106"/>
      <c r="AV98" s="106"/>
      <c r="AW98" s="17"/>
      <c r="AX98" s="107"/>
      <c r="BA98" s="106"/>
      <c r="BB98" s="106"/>
      <c r="BC98" s="106"/>
      <c r="BD98" s="106"/>
      <c r="BE98" s="17"/>
      <c r="BF98" s="107"/>
      <c r="BI98" s="106"/>
      <c r="BJ98" s="106"/>
      <c r="BK98" s="106"/>
      <c r="BL98" s="106"/>
      <c r="BM98" s="17"/>
      <c r="BN98" s="107"/>
      <c r="BQ98" s="106"/>
      <c r="BR98" s="106"/>
      <c r="BS98" s="106"/>
      <c r="BT98" s="106"/>
      <c r="BU98" s="17"/>
      <c r="BV98" s="107"/>
      <c r="BY98" s="106"/>
      <c r="BZ98" s="106"/>
      <c r="CA98" s="106"/>
      <c r="CB98" s="106"/>
      <c r="CC98" s="17"/>
      <c r="CD98" s="107"/>
      <c r="CG98" s="106"/>
      <c r="CH98" s="106"/>
      <c r="CI98" s="106"/>
      <c r="CJ98" s="106"/>
      <c r="CK98" s="17"/>
      <c r="CL98" s="107"/>
      <c r="CO98" s="106"/>
      <c r="CP98" s="106"/>
      <c r="CQ98" s="106"/>
      <c r="CR98" s="106"/>
      <c r="CS98" s="17"/>
      <c r="CT98" s="107"/>
      <c r="CW98" s="106"/>
      <c r="CX98" s="106"/>
      <c r="CY98" s="106"/>
      <c r="CZ98" s="106"/>
      <c r="DA98" s="17"/>
      <c r="DB98" s="107"/>
      <c r="DE98" s="106"/>
      <c r="DF98" s="106"/>
      <c r="DG98" s="106"/>
      <c r="DH98" s="106"/>
      <c r="DI98" s="17"/>
      <c r="DJ98" s="107"/>
      <c r="DM98" s="106"/>
      <c r="DN98" s="106"/>
      <c r="DO98" s="106"/>
      <c r="DP98" s="106"/>
      <c r="DQ98" s="17"/>
      <c r="DR98" s="107"/>
      <c r="DU98" s="106"/>
      <c r="DV98" s="106"/>
      <c r="DW98" s="106"/>
      <c r="DX98" s="106"/>
      <c r="DY98" s="17"/>
      <c r="DZ98" s="107"/>
      <c r="EC98" s="106"/>
      <c r="ED98" s="106"/>
      <c r="EE98" s="106"/>
      <c r="EF98" s="106"/>
      <c r="EG98" s="17"/>
      <c r="EH98" s="107"/>
      <c r="EK98" s="106"/>
      <c r="EL98" s="106"/>
      <c r="EM98" s="106"/>
      <c r="EN98" s="106"/>
      <c r="EO98" s="17"/>
      <c r="EP98" s="107"/>
      <c r="ES98" s="106"/>
      <c r="ET98" s="106"/>
      <c r="EU98" s="106"/>
      <c r="EV98" s="106"/>
      <c r="EW98" s="17"/>
      <c r="EX98" s="107"/>
      <c r="FA98" s="106"/>
      <c r="FB98" s="106"/>
      <c r="FC98" s="106"/>
      <c r="FD98" s="106"/>
      <c r="FE98" s="17"/>
      <c r="FF98" s="107"/>
      <c r="FI98" s="106"/>
      <c r="FJ98" s="106"/>
      <c r="FK98" s="106"/>
      <c r="FL98" s="106"/>
      <c r="FM98" s="17"/>
      <c r="FN98" s="107"/>
      <c r="FQ98" s="106"/>
      <c r="FR98" s="106"/>
      <c r="FS98" s="106"/>
      <c r="FT98" s="106"/>
      <c r="FU98" s="17"/>
      <c r="FV98" s="107"/>
      <c r="FY98" s="106"/>
      <c r="FZ98" s="106"/>
      <c r="GA98" s="106"/>
      <c r="GB98" s="106"/>
      <c r="GC98" s="17"/>
      <c r="GD98" s="107"/>
      <c r="GG98" s="106"/>
      <c r="GH98" s="106"/>
      <c r="GI98" s="106"/>
      <c r="GJ98" s="106"/>
      <c r="GK98" s="17"/>
      <c r="GL98" s="107"/>
      <c r="GO98" s="106"/>
      <c r="GP98" s="106"/>
      <c r="GQ98" s="106"/>
      <c r="GR98" s="106"/>
      <c r="GS98" s="17"/>
      <c r="GT98" s="107"/>
      <c r="GW98" s="106"/>
      <c r="GX98" s="106"/>
      <c r="GY98" s="106"/>
      <c r="GZ98" s="106"/>
      <c r="HA98" s="17"/>
      <c r="HB98" s="107"/>
      <c r="HE98" s="106"/>
      <c r="HF98" s="106"/>
      <c r="HG98" s="106"/>
      <c r="HH98" s="106"/>
      <c r="HI98" s="17"/>
      <c r="HJ98" s="107"/>
      <c r="HM98" s="106"/>
      <c r="HN98" s="106"/>
      <c r="HO98" s="106"/>
      <c r="HP98" s="106"/>
      <c r="HQ98" s="17"/>
      <c r="HR98" s="107"/>
      <c r="HU98" s="106"/>
      <c r="HV98" s="106"/>
      <c r="HW98" s="106"/>
      <c r="HX98" s="106"/>
      <c r="HY98" s="17"/>
      <c r="HZ98" s="107"/>
      <c r="IC98" s="106"/>
      <c r="ID98" s="106"/>
      <c r="IE98" s="106"/>
      <c r="IF98" s="106"/>
      <c r="IG98" s="17"/>
      <c r="IH98" s="107"/>
      <c r="IK98" s="106"/>
      <c r="IL98" s="106"/>
      <c r="IM98" s="106"/>
      <c r="IN98" s="106"/>
    </row>
    <row r="99" spans="1:248" s="13" customFormat="1" ht="12.75">
      <c r="A99" s="49"/>
      <c r="B99" s="83" t="s">
        <v>262</v>
      </c>
      <c r="C99" s="103" t="s">
        <v>264</v>
      </c>
      <c r="D99" s="33">
        <f>211+50</f>
        <v>261</v>
      </c>
      <c r="E99" s="64">
        <v>1</v>
      </c>
      <c r="F99" s="64">
        <v>1</v>
      </c>
      <c r="G99" s="33">
        <f>211+50</f>
        <v>261</v>
      </c>
      <c r="H99" s="104">
        <f aca="true" t="shared" si="3" ref="H99:H113">890300/33270.718*G99</f>
        <v>6984.168481125053</v>
      </c>
      <c r="I99" s="35"/>
      <c r="J99" s="6"/>
      <c r="K99" s="6"/>
      <c r="L99" s="94"/>
      <c r="M99" s="14"/>
      <c r="N99" s="14"/>
      <c r="O99" s="14"/>
      <c r="P99" s="14"/>
      <c r="Q99" s="19"/>
      <c r="R99" s="96"/>
      <c r="S99" s="94"/>
      <c r="T99" s="94"/>
      <c r="U99" s="14"/>
      <c r="V99" s="14"/>
      <c r="W99" s="14"/>
      <c r="X99" s="14"/>
      <c r="Y99" s="19"/>
      <c r="Z99" s="96"/>
      <c r="AA99" s="94"/>
      <c r="AB99" s="94"/>
      <c r="AC99" s="14"/>
      <c r="AD99" s="14"/>
      <c r="AE99" s="14"/>
      <c r="AF99" s="14"/>
      <c r="AG99" s="19"/>
      <c r="AH99" s="96"/>
      <c r="AI99" s="94"/>
      <c r="AJ99" s="94"/>
      <c r="AK99" s="14"/>
      <c r="AL99" s="14"/>
      <c r="AM99" s="14"/>
      <c r="AN99" s="14"/>
      <c r="AO99" s="19"/>
      <c r="AP99" s="96"/>
      <c r="AQ99" s="94"/>
      <c r="AR99" s="94"/>
      <c r="AS99" s="14"/>
      <c r="AT99" s="14"/>
      <c r="AU99" s="14"/>
      <c r="AV99" s="14"/>
      <c r="AW99" s="19"/>
      <c r="AX99" s="96"/>
      <c r="AY99" s="94"/>
      <c r="AZ99" s="94"/>
      <c r="BA99" s="14"/>
      <c r="BB99" s="14"/>
      <c r="BC99" s="14"/>
      <c r="BD99" s="14"/>
      <c r="BE99" s="19"/>
      <c r="BF99" s="96"/>
      <c r="BG99" s="94"/>
      <c r="BH99" s="94"/>
      <c r="BI99" s="14"/>
      <c r="BJ99" s="14"/>
      <c r="BK99" s="14"/>
      <c r="BL99" s="14"/>
      <c r="BM99" s="19"/>
      <c r="BN99" s="96"/>
      <c r="BO99" s="94"/>
      <c r="BP99" s="94"/>
      <c r="BQ99" s="14"/>
      <c r="BR99" s="14"/>
      <c r="BS99" s="14"/>
      <c r="BT99" s="14"/>
      <c r="BU99" s="19"/>
      <c r="BV99" s="96"/>
      <c r="BW99" s="94"/>
      <c r="BX99" s="94"/>
      <c r="BY99" s="14"/>
      <c r="BZ99" s="14"/>
      <c r="CA99" s="14"/>
      <c r="CB99" s="14"/>
      <c r="CC99" s="19"/>
      <c r="CD99" s="96"/>
      <c r="CE99" s="94"/>
      <c r="CF99" s="94"/>
      <c r="CG99" s="14"/>
      <c r="CH99" s="14"/>
      <c r="CI99" s="14"/>
      <c r="CJ99" s="14"/>
      <c r="CK99" s="19"/>
      <c r="CL99" s="96"/>
      <c r="CM99" s="94"/>
      <c r="CN99" s="94"/>
      <c r="CO99" s="14"/>
      <c r="CP99" s="14"/>
      <c r="CQ99" s="14"/>
      <c r="CR99" s="14"/>
      <c r="CS99" s="19"/>
      <c r="CT99" s="96"/>
      <c r="CU99" s="94"/>
      <c r="CV99" s="94"/>
      <c r="CW99" s="14"/>
      <c r="CX99" s="14"/>
      <c r="CY99" s="14"/>
      <c r="CZ99" s="14"/>
      <c r="DA99" s="19"/>
      <c r="DB99" s="96"/>
      <c r="DC99" s="94"/>
      <c r="DD99" s="94"/>
      <c r="DE99" s="14"/>
      <c r="DF99" s="14"/>
      <c r="DG99" s="14"/>
      <c r="DH99" s="14"/>
      <c r="DI99" s="19"/>
      <c r="DJ99" s="96"/>
      <c r="DK99" s="94"/>
      <c r="DL99" s="94"/>
      <c r="DM99" s="14"/>
      <c r="DN99" s="14"/>
      <c r="DO99" s="14"/>
      <c r="DP99" s="14"/>
      <c r="DQ99" s="19"/>
      <c r="DR99" s="96"/>
      <c r="DS99" s="94"/>
      <c r="DT99" s="94"/>
      <c r="DU99" s="14"/>
      <c r="DV99" s="14"/>
      <c r="DW99" s="14"/>
      <c r="DX99" s="14"/>
      <c r="DY99" s="19"/>
      <c r="DZ99" s="96"/>
      <c r="EA99" s="94"/>
      <c r="EB99" s="94"/>
      <c r="EC99" s="14"/>
      <c r="ED99" s="14"/>
      <c r="EE99" s="14"/>
      <c r="EF99" s="14"/>
      <c r="EG99" s="19"/>
      <c r="EH99" s="96"/>
      <c r="EI99" s="94"/>
      <c r="EJ99" s="94"/>
      <c r="EK99" s="14"/>
      <c r="EL99" s="14"/>
      <c r="EM99" s="14"/>
      <c r="EN99" s="14"/>
      <c r="EO99" s="19"/>
      <c r="EP99" s="96"/>
      <c r="EQ99" s="94"/>
      <c r="ER99" s="94"/>
      <c r="ES99" s="14"/>
      <c r="ET99" s="14"/>
      <c r="EU99" s="14"/>
      <c r="EV99" s="14"/>
      <c r="EW99" s="19"/>
      <c r="EX99" s="96"/>
      <c r="EY99" s="94"/>
      <c r="EZ99" s="94"/>
      <c r="FA99" s="14"/>
      <c r="FB99" s="14"/>
      <c r="FC99" s="14"/>
      <c r="FD99" s="14"/>
      <c r="FE99" s="19"/>
      <c r="FF99" s="96"/>
      <c r="FG99" s="94"/>
      <c r="FH99" s="94"/>
      <c r="FI99" s="14"/>
      <c r="FJ99" s="14"/>
      <c r="FK99" s="14"/>
      <c r="FL99" s="14"/>
      <c r="FM99" s="19"/>
      <c r="FN99" s="96"/>
      <c r="FO99" s="94"/>
      <c r="FP99" s="94"/>
      <c r="FQ99" s="14"/>
      <c r="FR99" s="14"/>
      <c r="FS99" s="14"/>
      <c r="FT99" s="14"/>
      <c r="FU99" s="19"/>
      <c r="FV99" s="96"/>
      <c r="FW99" s="94"/>
      <c r="FX99" s="94"/>
      <c r="FY99" s="14"/>
      <c r="FZ99" s="14"/>
      <c r="GA99" s="14"/>
      <c r="GB99" s="14"/>
      <c r="GC99" s="19"/>
      <c r="GD99" s="96"/>
      <c r="GE99" s="94"/>
      <c r="GF99" s="94"/>
      <c r="GG99" s="14"/>
      <c r="GH99" s="14"/>
      <c r="GI99" s="14"/>
      <c r="GJ99" s="14"/>
      <c r="GK99" s="19"/>
      <c r="GL99" s="96"/>
      <c r="GM99" s="94"/>
      <c r="GN99" s="94"/>
      <c r="GO99" s="14"/>
      <c r="GP99" s="14"/>
      <c r="GQ99" s="14"/>
      <c r="GR99" s="14"/>
      <c r="GS99" s="19"/>
      <c r="GT99" s="96"/>
      <c r="GU99" s="94"/>
      <c r="GV99" s="94"/>
      <c r="GW99" s="14"/>
      <c r="GX99" s="14"/>
      <c r="GY99" s="14"/>
      <c r="GZ99" s="14"/>
      <c r="HA99" s="19"/>
      <c r="HB99" s="96"/>
      <c r="HC99" s="94"/>
      <c r="HD99" s="94"/>
      <c r="HE99" s="14"/>
      <c r="HF99" s="14"/>
      <c r="HG99" s="14"/>
      <c r="HH99" s="14"/>
      <c r="HI99" s="19"/>
      <c r="HJ99" s="96"/>
      <c r="HK99" s="94"/>
      <c r="HL99" s="94"/>
      <c r="HM99" s="14"/>
      <c r="HN99" s="14"/>
      <c r="HO99" s="14"/>
      <c r="HP99" s="14"/>
      <c r="HQ99" s="19"/>
      <c r="HR99" s="96"/>
      <c r="HS99" s="94"/>
      <c r="HT99" s="94"/>
      <c r="HU99" s="14"/>
      <c r="HV99" s="14"/>
      <c r="HW99" s="14"/>
      <c r="HX99" s="14"/>
      <c r="HY99" s="19"/>
      <c r="HZ99" s="96"/>
      <c r="IA99" s="94"/>
      <c r="IB99" s="94"/>
      <c r="IC99" s="14"/>
      <c r="ID99" s="14"/>
      <c r="IE99" s="14"/>
      <c r="IF99" s="14"/>
      <c r="IG99" s="19"/>
      <c r="IH99" s="96"/>
      <c r="II99" s="94"/>
      <c r="IJ99" s="94"/>
      <c r="IK99" s="14"/>
      <c r="IL99" s="14"/>
      <c r="IM99" s="14"/>
      <c r="IN99" s="14"/>
    </row>
    <row r="100" spans="1:248" s="13" customFormat="1" ht="12.75">
      <c r="A100" s="49"/>
      <c r="B100" s="83" t="s">
        <v>263</v>
      </c>
      <c r="C100" s="103" t="s">
        <v>264</v>
      </c>
      <c r="D100" s="33">
        <v>370</v>
      </c>
      <c r="E100" s="64">
        <v>1</v>
      </c>
      <c r="F100" s="64">
        <v>1</v>
      </c>
      <c r="G100" s="33">
        <v>370</v>
      </c>
      <c r="H100" s="104">
        <f t="shared" si="3"/>
        <v>9900.928498146628</v>
      </c>
      <c r="I100" s="35"/>
      <c r="J100" s="6"/>
      <c r="K100" s="6"/>
      <c r="L100" s="94"/>
      <c r="M100" s="14"/>
      <c r="N100" s="14"/>
      <c r="O100" s="14"/>
      <c r="P100" s="14"/>
      <c r="Q100" s="19"/>
      <c r="R100" s="96"/>
      <c r="S100" s="94"/>
      <c r="T100" s="94"/>
      <c r="U100" s="14"/>
      <c r="V100" s="14"/>
      <c r="W100" s="14"/>
      <c r="X100" s="14"/>
      <c r="Y100" s="19"/>
      <c r="Z100" s="96"/>
      <c r="AA100" s="94"/>
      <c r="AB100" s="94"/>
      <c r="AC100" s="14"/>
      <c r="AD100" s="14"/>
      <c r="AE100" s="14"/>
      <c r="AF100" s="14"/>
      <c r="AG100" s="19"/>
      <c r="AH100" s="96"/>
      <c r="AI100" s="94"/>
      <c r="AJ100" s="94"/>
      <c r="AK100" s="14"/>
      <c r="AL100" s="14"/>
      <c r="AM100" s="14"/>
      <c r="AN100" s="14"/>
      <c r="AO100" s="19"/>
      <c r="AP100" s="96"/>
      <c r="AQ100" s="94"/>
      <c r="AR100" s="94"/>
      <c r="AS100" s="14"/>
      <c r="AT100" s="14"/>
      <c r="AU100" s="14"/>
      <c r="AV100" s="14"/>
      <c r="AW100" s="19"/>
      <c r="AX100" s="96"/>
      <c r="AY100" s="94"/>
      <c r="AZ100" s="94"/>
      <c r="BA100" s="14"/>
      <c r="BB100" s="14"/>
      <c r="BC100" s="14"/>
      <c r="BD100" s="14"/>
      <c r="BE100" s="19"/>
      <c r="BF100" s="96"/>
      <c r="BG100" s="94"/>
      <c r="BH100" s="94"/>
      <c r="BI100" s="14"/>
      <c r="BJ100" s="14"/>
      <c r="BK100" s="14"/>
      <c r="BL100" s="14"/>
      <c r="BM100" s="19"/>
      <c r="BN100" s="96"/>
      <c r="BO100" s="94"/>
      <c r="BP100" s="94"/>
      <c r="BQ100" s="14"/>
      <c r="BR100" s="14"/>
      <c r="BS100" s="14"/>
      <c r="BT100" s="14"/>
      <c r="BU100" s="19"/>
      <c r="BV100" s="96"/>
      <c r="BW100" s="94"/>
      <c r="BX100" s="94"/>
      <c r="BY100" s="14"/>
      <c r="BZ100" s="14"/>
      <c r="CA100" s="14"/>
      <c r="CB100" s="14"/>
      <c r="CC100" s="19"/>
      <c r="CD100" s="96"/>
      <c r="CE100" s="94"/>
      <c r="CF100" s="94"/>
      <c r="CG100" s="14"/>
      <c r="CH100" s="14"/>
      <c r="CI100" s="14"/>
      <c r="CJ100" s="14"/>
      <c r="CK100" s="19"/>
      <c r="CL100" s="96"/>
      <c r="CM100" s="94"/>
      <c r="CN100" s="94"/>
      <c r="CO100" s="14"/>
      <c r="CP100" s="14"/>
      <c r="CQ100" s="14"/>
      <c r="CR100" s="14"/>
      <c r="CS100" s="19"/>
      <c r="CT100" s="96"/>
      <c r="CU100" s="94"/>
      <c r="CV100" s="94"/>
      <c r="CW100" s="14"/>
      <c r="CX100" s="14"/>
      <c r="CY100" s="14"/>
      <c r="CZ100" s="14"/>
      <c r="DA100" s="19"/>
      <c r="DB100" s="96"/>
      <c r="DC100" s="94"/>
      <c r="DD100" s="94"/>
      <c r="DE100" s="14"/>
      <c r="DF100" s="14"/>
      <c r="DG100" s="14"/>
      <c r="DH100" s="14"/>
      <c r="DI100" s="19"/>
      <c r="DJ100" s="96"/>
      <c r="DK100" s="94"/>
      <c r="DL100" s="94"/>
      <c r="DM100" s="14"/>
      <c r="DN100" s="14"/>
      <c r="DO100" s="14"/>
      <c r="DP100" s="14"/>
      <c r="DQ100" s="19"/>
      <c r="DR100" s="96"/>
      <c r="DS100" s="94"/>
      <c r="DT100" s="94"/>
      <c r="DU100" s="14"/>
      <c r="DV100" s="14"/>
      <c r="DW100" s="14"/>
      <c r="DX100" s="14"/>
      <c r="DY100" s="19"/>
      <c r="DZ100" s="96"/>
      <c r="EA100" s="94"/>
      <c r="EB100" s="94"/>
      <c r="EC100" s="14"/>
      <c r="ED100" s="14"/>
      <c r="EE100" s="14"/>
      <c r="EF100" s="14"/>
      <c r="EG100" s="19"/>
      <c r="EH100" s="96"/>
      <c r="EI100" s="94"/>
      <c r="EJ100" s="94"/>
      <c r="EK100" s="14"/>
      <c r="EL100" s="14"/>
      <c r="EM100" s="14"/>
      <c r="EN100" s="14"/>
      <c r="EO100" s="19"/>
      <c r="EP100" s="96"/>
      <c r="EQ100" s="94"/>
      <c r="ER100" s="94"/>
      <c r="ES100" s="14"/>
      <c r="ET100" s="14"/>
      <c r="EU100" s="14"/>
      <c r="EV100" s="14"/>
      <c r="EW100" s="19"/>
      <c r="EX100" s="96"/>
      <c r="EY100" s="94"/>
      <c r="EZ100" s="94"/>
      <c r="FA100" s="14"/>
      <c r="FB100" s="14"/>
      <c r="FC100" s="14"/>
      <c r="FD100" s="14"/>
      <c r="FE100" s="19"/>
      <c r="FF100" s="96"/>
      <c r="FG100" s="94"/>
      <c r="FH100" s="94"/>
      <c r="FI100" s="14"/>
      <c r="FJ100" s="14"/>
      <c r="FK100" s="14"/>
      <c r="FL100" s="14"/>
      <c r="FM100" s="19"/>
      <c r="FN100" s="96"/>
      <c r="FO100" s="94"/>
      <c r="FP100" s="94"/>
      <c r="FQ100" s="14"/>
      <c r="FR100" s="14"/>
      <c r="FS100" s="14"/>
      <c r="FT100" s="14"/>
      <c r="FU100" s="19"/>
      <c r="FV100" s="96"/>
      <c r="FW100" s="94"/>
      <c r="FX100" s="94"/>
      <c r="FY100" s="14"/>
      <c r="FZ100" s="14"/>
      <c r="GA100" s="14"/>
      <c r="GB100" s="14"/>
      <c r="GC100" s="19"/>
      <c r="GD100" s="96"/>
      <c r="GE100" s="94"/>
      <c r="GF100" s="94"/>
      <c r="GG100" s="14"/>
      <c r="GH100" s="14"/>
      <c r="GI100" s="14"/>
      <c r="GJ100" s="14"/>
      <c r="GK100" s="19"/>
      <c r="GL100" s="96"/>
      <c r="GM100" s="94"/>
      <c r="GN100" s="94"/>
      <c r="GO100" s="14"/>
      <c r="GP100" s="14"/>
      <c r="GQ100" s="14"/>
      <c r="GR100" s="14"/>
      <c r="GS100" s="19"/>
      <c r="GT100" s="96"/>
      <c r="GU100" s="94"/>
      <c r="GV100" s="94"/>
      <c r="GW100" s="14"/>
      <c r="GX100" s="14"/>
      <c r="GY100" s="14"/>
      <c r="GZ100" s="14"/>
      <c r="HA100" s="19"/>
      <c r="HB100" s="96"/>
      <c r="HC100" s="94"/>
      <c r="HD100" s="94"/>
      <c r="HE100" s="14"/>
      <c r="HF100" s="14"/>
      <c r="HG100" s="14"/>
      <c r="HH100" s="14"/>
      <c r="HI100" s="19"/>
      <c r="HJ100" s="96"/>
      <c r="HK100" s="94"/>
      <c r="HL100" s="94"/>
      <c r="HM100" s="14"/>
      <c r="HN100" s="14"/>
      <c r="HO100" s="14"/>
      <c r="HP100" s="14"/>
      <c r="HQ100" s="19"/>
      <c r="HR100" s="96"/>
      <c r="HS100" s="94"/>
      <c r="HT100" s="94"/>
      <c r="HU100" s="14"/>
      <c r="HV100" s="14"/>
      <c r="HW100" s="14"/>
      <c r="HX100" s="14"/>
      <c r="HY100" s="19"/>
      <c r="HZ100" s="96"/>
      <c r="IA100" s="94"/>
      <c r="IB100" s="94"/>
      <c r="IC100" s="14"/>
      <c r="ID100" s="14"/>
      <c r="IE100" s="14"/>
      <c r="IF100" s="14"/>
      <c r="IG100" s="19"/>
      <c r="IH100" s="96"/>
      <c r="II100" s="94"/>
      <c r="IJ100" s="94"/>
      <c r="IK100" s="14"/>
      <c r="IL100" s="14"/>
      <c r="IM100" s="14"/>
      <c r="IN100" s="14"/>
    </row>
    <row r="101" spans="1:248" s="13" customFormat="1" ht="12.75">
      <c r="A101" s="49"/>
      <c r="B101" s="83" t="s">
        <v>252</v>
      </c>
      <c r="C101" s="103" t="s">
        <v>264</v>
      </c>
      <c r="D101" s="33">
        <v>850</v>
      </c>
      <c r="E101" s="64">
        <v>1</v>
      </c>
      <c r="F101" s="64">
        <v>1</v>
      </c>
      <c r="G101" s="33">
        <v>850</v>
      </c>
      <c r="H101" s="104">
        <f t="shared" si="3"/>
        <v>22745.376279526037</v>
      </c>
      <c r="I101" s="35"/>
      <c r="J101" s="6"/>
      <c r="K101" s="6"/>
      <c r="L101" s="94"/>
      <c r="M101" s="14"/>
      <c r="N101" s="14"/>
      <c r="O101" s="14"/>
      <c r="P101" s="14"/>
      <c r="Q101" s="19"/>
      <c r="R101" s="96"/>
      <c r="S101" s="94"/>
      <c r="T101" s="94"/>
      <c r="U101" s="14"/>
      <c r="V101" s="14"/>
      <c r="W101" s="14"/>
      <c r="X101" s="14"/>
      <c r="Y101" s="19"/>
      <c r="Z101" s="96"/>
      <c r="AA101" s="94"/>
      <c r="AB101" s="94"/>
      <c r="AC101" s="14"/>
      <c r="AD101" s="14"/>
      <c r="AE101" s="14"/>
      <c r="AF101" s="14"/>
      <c r="AG101" s="19"/>
      <c r="AH101" s="96"/>
      <c r="AI101" s="94"/>
      <c r="AJ101" s="94"/>
      <c r="AK101" s="14"/>
      <c r="AL101" s="14"/>
      <c r="AM101" s="14"/>
      <c r="AN101" s="14"/>
      <c r="AO101" s="19"/>
      <c r="AP101" s="96"/>
      <c r="AQ101" s="94"/>
      <c r="AR101" s="94"/>
      <c r="AS101" s="14"/>
      <c r="AT101" s="14"/>
      <c r="AU101" s="14"/>
      <c r="AV101" s="14"/>
      <c r="AW101" s="19"/>
      <c r="AX101" s="96"/>
      <c r="AY101" s="94"/>
      <c r="AZ101" s="94"/>
      <c r="BA101" s="14"/>
      <c r="BB101" s="14"/>
      <c r="BC101" s="14"/>
      <c r="BD101" s="14"/>
      <c r="BE101" s="19"/>
      <c r="BF101" s="96"/>
      <c r="BG101" s="94"/>
      <c r="BH101" s="94"/>
      <c r="BI101" s="14"/>
      <c r="BJ101" s="14"/>
      <c r="BK101" s="14"/>
      <c r="BL101" s="14"/>
      <c r="BM101" s="19"/>
      <c r="BN101" s="96"/>
      <c r="BO101" s="94"/>
      <c r="BP101" s="94"/>
      <c r="BQ101" s="14"/>
      <c r="BR101" s="14"/>
      <c r="BS101" s="14"/>
      <c r="BT101" s="14"/>
      <c r="BU101" s="19"/>
      <c r="BV101" s="96"/>
      <c r="BW101" s="94"/>
      <c r="BX101" s="94"/>
      <c r="BY101" s="14"/>
      <c r="BZ101" s="14"/>
      <c r="CA101" s="14"/>
      <c r="CB101" s="14"/>
      <c r="CC101" s="19"/>
      <c r="CD101" s="96"/>
      <c r="CE101" s="94"/>
      <c r="CF101" s="94"/>
      <c r="CG101" s="14"/>
      <c r="CH101" s="14"/>
      <c r="CI101" s="14"/>
      <c r="CJ101" s="14"/>
      <c r="CK101" s="19"/>
      <c r="CL101" s="96"/>
      <c r="CM101" s="94"/>
      <c r="CN101" s="94"/>
      <c r="CO101" s="14"/>
      <c r="CP101" s="14"/>
      <c r="CQ101" s="14"/>
      <c r="CR101" s="14"/>
      <c r="CS101" s="19"/>
      <c r="CT101" s="96"/>
      <c r="CU101" s="94"/>
      <c r="CV101" s="94"/>
      <c r="CW101" s="14"/>
      <c r="CX101" s="14"/>
      <c r="CY101" s="14"/>
      <c r="CZ101" s="14"/>
      <c r="DA101" s="19"/>
      <c r="DB101" s="96"/>
      <c r="DC101" s="94"/>
      <c r="DD101" s="94"/>
      <c r="DE101" s="14"/>
      <c r="DF101" s="14"/>
      <c r="DG101" s="14"/>
      <c r="DH101" s="14"/>
      <c r="DI101" s="19"/>
      <c r="DJ101" s="96"/>
      <c r="DK101" s="94"/>
      <c r="DL101" s="94"/>
      <c r="DM101" s="14"/>
      <c r="DN101" s="14"/>
      <c r="DO101" s="14"/>
      <c r="DP101" s="14"/>
      <c r="DQ101" s="19"/>
      <c r="DR101" s="96"/>
      <c r="DS101" s="94"/>
      <c r="DT101" s="94"/>
      <c r="DU101" s="14"/>
      <c r="DV101" s="14"/>
      <c r="DW101" s="14"/>
      <c r="DX101" s="14"/>
      <c r="DY101" s="19"/>
      <c r="DZ101" s="96"/>
      <c r="EA101" s="94"/>
      <c r="EB101" s="94"/>
      <c r="EC101" s="14"/>
      <c r="ED101" s="14"/>
      <c r="EE101" s="14"/>
      <c r="EF101" s="14"/>
      <c r="EG101" s="19"/>
      <c r="EH101" s="96"/>
      <c r="EI101" s="94"/>
      <c r="EJ101" s="94"/>
      <c r="EK101" s="14"/>
      <c r="EL101" s="14"/>
      <c r="EM101" s="14"/>
      <c r="EN101" s="14"/>
      <c r="EO101" s="19"/>
      <c r="EP101" s="96"/>
      <c r="EQ101" s="94"/>
      <c r="ER101" s="94"/>
      <c r="ES101" s="14"/>
      <c r="ET101" s="14"/>
      <c r="EU101" s="14"/>
      <c r="EV101" s="14"/>
      <c r="EW101" s="19"/>
      <c r="EX101" s="96"/>
      <c r="EY101" s="94"/>
      <c r="EZ101" s="94"/>
      <c r="FA101" s="14"/>
      <c r="FB101" s="14"/>
      <c r="FC101" s="14"/>
      <c r="FD101" s="14"/>
      <c r="FE101" s="19"/>
      <c r="FF101" s="96"/>
      <c r="FG101" s="94"/>
      <c r="FH101" s="94"/>
      <c r="FI101" s="14"/>
      <c r="FJ101" s="14"/>
      <c r="FK101" s="14"/>
      <c r="FL101" s="14"/>
      <c r="FM101" s="19"/>
      <c r="FN101" s="96"/>
      <c r="FO101" s="94"/>
      <c r="FP101" s="94"/>
      <c r="FQ101" s="14"/>
      <c r="FR101" s="14"/>
      <c r="FS101" s="14"/>
      <c r="FT101" s="14"/>
      <c r="FU101" s="19"/>
      <c r="FV101" s="96"/>
      <c r="FW101" s="94"/>
      <c r="FX101" s="94"/>
      <c r="FY101" s="14"/>
      <c r="FZ101" s="14"/>
      <c r="GA101" s="14"/>
      <c r="GB101" s="14"/>
      <c r="GC101" s="19"/>
      <c r="GD101" s="96"/>
      <c r="GE101" s="94"/>
      <c r="GF101" s="94"/>
      <c r="GG101" s="14"/>
      <c r="GH101" s="14"/>
      <c r="GI101" s="14"/>
      <c r="GJ101" s="14"/>
      <c r="GK101" s="19"/>
      <c r="GL101" s="96"/>
      <c r="GM101" s="94"/>
      <c r="GN101" s="94"/>
      <c r="GO101" s="14"/>
      <c r="GP101" s="14"/>
      <c r="GQ101" s="14"/>
      <c r="GR101" s="14"/>
      <c r="GS101" s="19"/>
      <c r="GT101" s="96"/>
      <c r="GU101" s="94"/>
      <c r="GV101" s="94"/>
      <c r="GW101" s="14"/>
      <c r="GX101" s="14"/>
      <c r="GY101" s="14"/>
      <c r="GZ101" s="14"/>
      <c r="HA101" s="19"/>
      <c r="HB101" s="96"/>
      <c r="HC101" s="94"/>
      <c r="HD101" s="94"/>
      <c r="HE101" s="14"/>
      <c r="HF101" s="14"/>
      <c r="HG101" s="14"/>
      <c r="HH101" s="14"/>
      <c r="HI101" s="19"/>
      <c r="HJ101" s="96"/>
      <c r="HK101" s="94"/>
      <c r="HL101" s="94"/>
      <c r="HM101" s="14"/>
      <c r="HN101" s="14"/>
      <c r="HO101" s="14"/>
      <c r="HP101" s="14"/>
      <c r="HQ101" s="19"/>
      <c r="HR101" s="96"/>
      <c r="HS101" s="94"/>
      <c r="HT101" s="94"/>
      <c r="HU101" s="14"/>
      <c r="HV101" s="14"/>
      <c r="HW101" s="14"/>
      <c r="HX101" s="14"/>
      <c r="HY101" s="19"/>
      <c r="HZ101" s="96"/>
      <c r="IA101" s="94"/>
      <c r="IB101" s="94"/>
      <c r="IC101" s="14"/>
      <c r="ID101" s="14"/>
      <c r="IE101" s="14"/>
      <c r="IF101" s="14"/>
      <c r="IG101" s="19"/>
      <c r="IH101" s="96"/>
      <c r="II101" s="94"/>
      <c r="IJ101" s="94"/>
      <c r="IK101" s="14"/>
      <c r="IL101" s="14"/>
      <c r="IM101" s="14"/>
      <c r="IN101" s="14"/>
    </row>
    <row r="102" spans="1:248" s="13" customFormat="1" ht="12.75">
      <c r="A102" s="49"/>
      <c r="B102" s="83" t="s">
        <v>319</v>
      </c>
      <c r="C102" s="103" t="s">
        <v>264</v>
      </c>
      <c r="D102" s="33">
        <f>200+200</f>
        <v>400</v>
      </c>
      <c r="E102" s="64">
        <v>1</v>
      </c>
      <c r="F102" s="64">
        <v>1</v>
      </c>
      <c r="G102" s="33">
        <f>200+200</f>
        <v>400</v>
      </c>
      <c r="H102" s="104">
        <f t="shared" si="3"/>
        <v>10703.70648448284</v>
      </c>
      <c r="I102" s="35"/>
      <c r="J102" s="6"/>
      <c r="K102" s="6"/>
      <c r="L102" s="94"/>
      <c r="M102" s="14"/>
      <c r="N102" s="14"/>
      <c r="O102" s="14"/>
      <c r="P102" s="14"/>
      <c r="Q102" s="19"/>
      <c r="R102" s="96"/>
      <c r="S102" s="94"/>
      <c r="T102" s="94"/>
      <c r="U102" s="14"/>
      <c r="V102" s="14"/>
      <c r="W102" s="14"/>
      <c r="X102" s="14"/>
      <c r="Y102" s="19"/>
      <c r="Z102" s="96"/>
      <c r="AA102" s="94"/>
      <c r="AB102" s="94"/>
      <c r="AC102" s="14"/>
      <c r="AD102" s="14"/>
      <c r="AE102" s="14"/>
      <c r="AF102" s="14"/>
      <c r="AG102" s="19"/>
      <c r="AH102" s="96"/>
      <c r="AI102" s="94"/>
      <c r="AJ102" s="94"/>
      <c r="AK102" s="14"/>
      <c r="AL102" s="14"/>
      <c r="AM102" s="14"/>
      <c r="AN102" s="14"/>
      <c r="AO102" s="19"/>
      <c r="AP102" s="96"/>
      <c r="AQ102" s="94"/>
      <c r="AR102" s="94"/>
      <c r="AS102" s="14"/>
      <c r="AT102" s="14"/>
      <c r="AU102" s="14"/>
      <c r="AV102" s="14"/>
      <c r="AW102" s="19"/>
      <c r="AX102" s="96"/>
      <c r="AY102" s="94"/>
      <c r="AZ102" s="94"/>
      <c r="BA102" s="14"/>
      <c r="BB102" s="14"/>
      <c r="BC102" s="14"/>
      <c r="BD102" s="14"/>
      <c r="BE102" s="19"/>
      <c r="BF102" s="96"/>
      <c r="BG102" s="94"/>
      <c r="BH102" s="94"/>
      <c r="BI102" s="14"/>
      <c r="BJ102" s="14"/>
      <c r="BK102" s="14"/>
      <c r="BL102" s="14"/>
      <c r="BM102" s="19"/>
      <c r="BN102" s="96"/>
      <c r="BO102" s="94"/>
      <c r="BP102" s="94"/>
      <c r="BQ102" s="14"/>
      <c r="BR102" s="14"/>
      <c r="BS102" s="14"/>
      <c r="BT102" s="14"/>
      <c r="BU102" s="19"/>
      <c r="BV102" s="96"/>
      <c r="BW102" s="94"/>
      <c r="BX102" s="94"/>
      <c r="BY102" s="14"/>
      <c r="BZ102" s="14"/>
      <c r="CA102" s="14"/>
      <c r="CB102" s="14"/>
      <c r="CC102" s="19"/>
      <c r="CD102" s="96"/>
      <c r="CE102" s="94"/>
      <c r="CF102" s="94"/>
      <c r="CG102" s="14"/>
      <c r="CH102" s="14"/>
      <c r="CI102" s="14"/>
      <c r="CJ102" s="14"/>
      <c r="CK102" s="19"/>
      <c r="CL102" s="96"/>
      <c r="CM102" s="94"/>
      <c r="CN102" s="94"/>
      <c r="CO102" s="14"/>
      <c r="CP102" s="14"/>
      <c r="CQ102" s="14"/>
      <c r="CR102" s="14"/>
      <c r="CS102" s="19"/>
      <c r="CT102" s="96"/>
      <c r="CU102" s="94"/>
      <c r="CV102" s="94"/>
      <c r="CW102" s="14"/>
      <c r="CX102" s="14"/>
      <c r="CY102" s="14"/>
      <c r="CZ102" s="14"/>
      <c r="DA102" s="19"/>
      <c r="DB102" s="96"/>
      <c r="DC102" s="94"/>
      <c r="DD102" s="94"/>
      <c r="DE102" s="14"/>
      <c r="DF102" s="14"/>
      <c r="DG102" s="14"/>
      <c r="DH102" s="14"/>
      <c r="DI102" s="19"/>
      <c r="DJ102" s="96"/>
      <c r="DK102" s="94"/>
      <c r="DL102" s="94"/>
      <c r="DM102" s="14"/>
      <c r="DN102" s="14"/>
      <c r="DO102" s="14"/>
      <c r="DP102" s="14"/>
      <c r="DQ102" s="19"/>
      <c r="DR102" s="96"/>
      <c r="DS102" s="94"/>
      <c r="DT102" s="94"/>
      <c r="DU102" s="14"/>
      <c r="DV102" s="14"/>
      <c r="DW102" s="14"/>
      <c r="DX102" s="14"/>
      <c r="DY102" s="19"/>
      <c r="DZ102" s="96"/>
      <c r="EA102" s="94"/>
      <c r="EB102" s="94"/>
      <c r="EC102" s="14"/>
      <c r="ED102" s="14"/>
      <c r="EE102" s="14"/>
      <c r="EF102" s="14"/>
      <c r="EG102" s="19"/>
      <c r="EH102" s="96"/>
      <c r="EI102" s="94"/>
      <c r="EJ102" s="94"/>
      <c r="EK102" s="14"/>
      <c r="EL102" s="14"/>
      <c r="EM102" s="14"/>
      <c r="EN102" s="14"/>
      <c r="EO102" s="19"/>
      <c r="EP102" s="96"/>
      <c r="EQ102" s="94"/>
      <c r="ER102" s="94"/>
      <c r="ES102" s="14"/>
      <c r="ET102" s="14"/>
      <c r="EU102" s="14"/>
      <c r="EV102" s="14"/>
      <c r="EW102" s="19"/>
      <c r="EX102" s="96"/>
      <c r="EY102" s="94"/>
      <c r="EZ102" s="94"/>
      <c r="FA102" s="14"/>
      <c r="FB102" s="14"/>
      <c r="FC102" s="14"/>
      <c r="FD102" s="14"/>
      <c r="FE102" s="19"/>
      <c r="FF102" s="96"/>
      <c r="FG102" s="94"/>
      <c r="FH102" s="94"/>
      <c r="FI102" s="14"/>
      <c r="FJ102" s="14"/>
      <c r="FK102" s="14"/>
      <c r="FL102" s="14"/>
      <c r="FM102" s="19"/>
      <c r="FN102" s="96"/>
      <c r="FO102" s="94"/>
      <c r="FP102" s="94"/>
      <c r="FQ102" s="14"/>
      <c r="FR102" s="14"/>
      <c r="FS102" s="14"/>
      <c r="FT102" s="14"/>
      <c r="FU102" s="19"/>
      <c r="FV102" s="96"/>
      <c r="FW102" s="94"/>
      <c r="FX102" s="94"/>
      <c r="FY102" s="14"/>
      <c r="FZ102" s="14"/>
      <c r="GA102" s="14"/>
      <c r="GB102" s="14"/>
      <c r="GC102" s="19"/>
      <c r="GD102" s="96"/>
      <c r="GE102" s="94"/>
      <c r="GF102" s="94"/>
      <c r="GG102" s="14"/>
      <c r="GH102" s="14"/>
      <c r="GI102" s="14"/>
      <c r="GJ102" s="14"/>
      <c r="GK102" s="19"/>
      <c r="GL102" s="96"/>
      <c r="GM102" s="94"/>
      <c r="GN102" s="94"/>
      <c r="GO102" s="14"/>
      <c r="GP102" s="14"/>
      <c r="GQ102" s="14"/>
      <c r="GR102" s="14"/>
      <c r="GS102" s="19"/>
      <c r="GT102" s="96"/>
      <c r="GU102" s="94"/>
      <c r="GV102" s="94"/>
      <c r="GW102" s="14"/>
      <c r="GX102" s="14"/>
      <c r="GY102" s="14"/>
      <c r="GZ102" s="14"/>
      <c r="HA102" s="19"/>
      <c r="HB102" s="96"/>
      <c r="HC102" s="94"/>
      <c r="HD102" s="94"/>
      <c r="HE102" s="14"/>
      <c r="HF102" s="14"/>
      <c r="HG102" s="14"/>
      <c r="HH102" s="14"/>
      <c r="HI102" s="19"/>
      <c r="HJ102" s="96"/>
      <c r="HK102" s="94"/>
      <c r="HL102" s="94"/>
      <c r="HM102" s="14"/>
      <c r="HN102" s="14"/>
      <c r="HO102" s="14"/>
      <c r="HP102" s="14"/>
      <c r="HQ102" s="19"/>
      <c r="HR102" s="96"/>
      <c r="HS102" s="94"/>
      <c r="HT102" s="94"/>
      <c r="HU102" s="14"/>
      <c r="HV102" s="14"/>
      <c r="HW102" s="14"/>
      <c r="HX102" s="14"/>
      <c r="HY102" s="19"/>
      <c r="HZ102" s="96"/>
      <c r="IA102" s="94"/>
      <c r="IB102" s="94"/>
      <c r="IC102" s="14"/>
      <c r="ID102" s="14"/>
      <c r="IE102" s="14"/>
      <c r="IF102" s="14"/>
      <c r="IG102" s="19"/>
      <c r="IH102" s="96"/>
      <c r="II102" s="94"/>
      <c r="IJ102" s="94"/>
      <c r="IK102" s="14"/>
      <c r="IL102" s="14"/>
      <c r="IM102" s="14"/>
      <c r="IN102" s="14"/>
    </row>
    <row r="103" spans="1:248" s="13" customFormat="1" ht="12.75">
      <c r="A103" s="49"/>
      <c r="B103" s="83" t="s">
        <v>369</v>
      </c>
      <c r="C103" s="103" t="s">
        <v>264</v>
      </c>
      <c r="D103" s="33">
        <v>60</v>
      </c>
      <c r="E103" s="64"/>
      <c r="F103" s="64"/>
      <c r="G103" s="33">
        <v>60</v>
      </c>
      <c r="H103" s="104">
        <f t="shared" si="3"/>
        <v>1605.5559726724262</v>
      </c>
      <c r="I103" s="35"/>
      <c r="J103" s="47"/>
      <c r="K103" s="6"/>
      <c r="L103" s="94"/>
      <c r="M103" s="14"/>
      <c r="N103" s="14"/>
      <c r="O103" s="14"/>
      <c r="P103" s="14"/>
      <c r="Q103" s="19"/>
      <c r="R103" s="96"/>
      <c r="S103" s="94"/>
      <c r="T103" s="94"/>
      <c r="U103" s="14"/>
      <c r="V103" s="14"/>
      <c r="W103" s="14"/>
      <c r="X103" s="14"/>
      <c r="Y103" s="19"/>
      <c r="Z103" s="96"/>
      <c r="AA103" s="94"/>
      <c r="AB103" s="94"/>
      <c r="AC103" s="14"/>
      <c r="AD103" s="14"/>
      <c r="AE103" s="14"/>
      <c r="AF103" s="14"/>
      <c r="AG103" s="19"/>
      <c r="AH103" s="96"/>
      <c r="AI103" s="94"/>
      <c r="AJ103" s="94"/>
      <c r="AK103" s="14"/>
      <c r="AL103" s="14"/>
      <c r="AM103" s="14"/>
      <c r="AN103" s="14"/>
      <c r="AO103" s="19"/>
      <c r="AP103" s="96"/>
      <c r="AQ103" s="94"/>
      <c r="AR103" s="94"/>
      <c r="AS103" s="14"/>
      <c r="AT103" s="14"/>
      <c r="AU103" s="14"/>
      <c r="AV103" s="14"/>
      <c r="AW103" s="19"/>
      <c r="AX103" s="96"/>
      <c r="AY103" s="94"/>
      <c r="AZ103" s="94"/>
      <c r="BA103" s="14"/>
      <c r="BB103" s="14"/>
      <c r="BC103" s="14"/>
      <c r="BD103" s="14"/>
      <c r="BE103" s="19"/>
      <c r="BF103" s="96"/>
      <c r="BG103" s="94"/>
      <c r="BH103" s="94"/>
      <c r="BI103" s="14"/>
      <c r="BJ103" s="14"/>
      <c r="BK103" s="14"/>
      <c r="BL103" s="14"/>
      <c r="BM103" s="19"/>
      <c r="BN103" s="96"/>
      <c r="BO103" s="94"/>
      <c r="BP103" s="94"/>
      <c r="BQ103" s="14"/>
      <c r="BR103" s="14"/>
      <c r="BS103" s="14"/>
      <c r="BT103" s="14"/>
      <c r="BU103" s="19"/>
      <c r="BV103" s="96"/>
      <c r="BW103" s="94"/>
      <c r="BX103" s="94"/>
      <c r="BY103" s="14"/>
      <c r="BZ103" s="14"/>
      <c r="CA103" s="14"/>
      <c r="CB103" s="14"/>
      <c r="CC103" s="19"/>
      <c r="CD103" s="96"/>
      <c r="CE103" s="94"/>
      <c r="CF103" s="94"/>
      <c r="CG103" s="14"/>
      <c r="CH103" s="14"/>
      <c r="CI103" s="14"/>
      <c r="CJ103" s="14"/>
      <c r="CK103" s="19"/>
      <c r="CL103" s="96"/>
      <c r="CM103" s="94"/>
      <c r="CN103" s="94"/>
      <c r="CO103" s="14"/>
      <c r="CP103" s="14"/>
      <c r="CQ103" s="14"/>
      <c r="CR103" s="14"/>
      <c r="CS103" s="19"/>
      <c r="CT103" s="96"/>
      <c r="CU103" s="94"/>
      <c r="CV103" s="94"/>
      <c r="CW103" s="14"/>
      <c r="CX103" s="14"/>
      <c r="CY103" s="14"/>
      <c r="CZ103" s="14"/>
      <c r="DA103" s="19"/>
      <c r="DB103" s="96"/>
      <c r="DC103" s="94"/>
      <c r="DD103" s="94"/>
      <c r="DE103" s="14"/>
      <c r="DF103" s="14"/>
      <c r="DG103" s="14"/>
      <c r="DH103" s="14"/>
      <c r="DI103" s="19"/>
      <c r="DJ103" s="96"/>
      <c r="DK103" s="94"/>
      <c r="DL103" s="94"/>
      <c r="DM103" s="14"/>
      <c r="DN103" s="14"/>
      <c r="DO103" s="14"/>
      <c r="DP103" s="14"/>
      <c r="DQ103" s="19"/>
      <c r="DR103" s="96"/>
      <c r="DS103" s="94"/>
      <c r="DT103" s="94"/>
      <c r="DU103" s="14"/>
      <c r="DV103" s="14"/>
      <c r="DW103" s="14"/>
      <c r="DX103" s="14"/>
      <c r="DY103" s="19"/>
      <c r="DZ103" s="96"/>
      <c r="EA103" s="94"/>
      <c r="EB103" s="94"/>
      <c r="EC103" s="14"/>
      <c r="ED103" s="14"/>
      <c r="EE103" s="14"/>
      <c r="EF103" s="14"/>
      <c r="EG103" s="19"/>
      <c r="EH103" s="96"/>
      <c r="EI103" s="94"/>
      <c r="EJ103" s="94"/>
      <c r="EK103" s="14"/>
      <c r="EL103" s="14"/>
      <c r="EM103" s="14"/>
      <c r="EN103" s="14"/>
      <c r="EO103" s="19"/>
      <c r="EP103" s="96"/>
      <c r="EQ103" s="94"/>
      <c r="ER103" s="94"/>
      <c r="ES103" s="14"/>
      <c r="ET103" s="14"/>
      <c r="EU103" s="14"/>
      <c r="EV103" s="14"/>
      <c r="EW103" s="19"/>
      <c r="EX103" s="96"/>
      <c r="EY103" s="94"/>
      <c r="EZ103" s="94"/>
      <c r="FA103" s="14"/>
      <c r="FB103" s="14"/>
      <c r="FC103" s="14"/>
      <c r="FD103" s="14"/>
      <c r="FE103" s="19"/>
      <c r="FF103" s="96"/>
      <c r="FG103" s="94"/>
      <c r="FH103" s="94"/>
      <c r="FI103" s="14"/>
      <c r="FJ103" s="14"/>
      <c r="FK103" s="14"/>
      <c r="FL103" s="14"/>
      <c r="FM103" s="19"/>
      <c r="FN103" s="96"/>
      <c r="FO103" s="94"/>
      <c r="FP103" s="94"/>
      <c r="FQ103" s="14"/>
      <c r="FR103" s="14"/>
      <c r="FS103" s="14"/>
      <c r="FT103" s="14"/>
      <c r="FU103" s="19"/>
      <c r="FV103" s="96"/>
      <c r="FW103" s="94"/>
      <c r="FX103" s="94"/>
      <c r="FY103" s="14"/>
      <c r="FZ103" s="14"/>
      <c r="GA103" s="14"/>
      <c r="GB103" s="14"/>
      <c r="GC103" s="19"/>
      <c r="GD103" s="96"/>
      <c r="GE103" s="94"/>
      <c r="GF103" s="94"/>
      <c r="GG103" s="14"/>
      <c r="GH103" s="14"/>
      <c r="GI103" s="14"/>
      <c r="GJ103" s="14"/>
      <c r="GK103" s="19"/>
      <c r="GL103" s="96"/>
      <c r="GM103" s="94"/>
      <c r="GN103" s="94"/>
      <c r="GO103" s="14"/>
      <c r="GP103" s="14"/>
      <c r="GQ103" s="14"/>
      <c r="GR103" s="14"/>
      <c r="GS103" s="19"/>
      <c r="GT103" s="96"/>
      <c r="GU103" s="94"/>
      <c r="GV103" s="94"/>
      <c r="GW103" s="14"/>
      <c r="GX103" s="14"/>
      <c r="GY103" s="14"/>
      <c r="GZ103" s="14"/>
      <c r="HA103" s="19"/>
      <c r="HB103" s="96"/>
      <c r="HC103" s="94"/>
      <c r="HD103" s="94"/>
      <c r="HE103" s="14"/>
      <c r="HF103" s="14"/>
      <c r="HG103" s="14"/>
      <c r="HH103" s="14"/>
      <c r="HI103" s="19"/>
      <c r="HJ103" s="96"/>
      <c r="HK103" s="94"/>
      <c r="HL103" s="94"/>
      <c r="HM103" s="14"/>
      <c r="HN103" s="14"/>
      <c r="HO103" s="14"/>
      <c r="HP103" s="14"/>
      <c r="HQ103" s="19"/>
      <c r="HR103" s="96"/>
      <c r="HS103" s="94"/>
      <c r="HT103" s="94"/>
      <c r="HU103" s="14"/>
      <c r="HV103" s="14"/>
      <c r="HW103" s="14"/>
      <c r="HX103" s="14"/>
      <c r="HY103" s="19"/>
      <c r="HZ103" s="96"/>
      <c r="IA103" s="94"/>
      <c r="IB103" s="94"/>
      <c r="IC103" s="14"/>
      <c r="ID103" s="14"/>
      <c r="IE103" s="14"/>
      <c r="IF103" s="14"/>
      <c r="IG103" s="19"/>
      <c r="IH103" s="96"/>
      <c r="II103" s="94"/>
      <c r="IJ103" s="94"/>
      <c r="IK103" s="14"/>
      <c r="IL103" s="14"/>
      <c r="IM103" s="14"/>
      <c r="IN103" s="14"/>
    </row>
    <row r="104" spans="1:248" s="13" customFormat="1" ht="12.75">
      <c r="A104" s="49"/>
      <c r="B104" s="83" t="s">
        <v>307</v>
      </c>
      <c r="C104" s="103" t="s">
        <v>264</v>
      </c>
      <c r="D104" s="33">
        <v>500</v>
      </c>
      <c r="E104" s="64">
        <v>1</v>
      </c>
      <c r="F104" s="64">
        <v>1</v>
      </c>
      <c r="G104" s="33">
        <v>500</v>
      </c>
      <c r="H104" s="104">
        <f t="shared" si="3"/>
        <v>13379.63310560355</v>
      </c>
      <c r="I104" s="35"/>
      <c r="J104" s="6"/>
      <c r="K104" s="6"/>
      <c r="L104" s="94"/>
      <c r="M104" s="14"/>
      <c r="N104" s="14"/>
      <c r="O104" s="14"/>
      <c r="P104" s="14"/>
      <c r="Q104" s="19"/>
      <c r="R104" s="96"/>
      <c r="S104" s="94"/>
      <c r="T104" s="94"/>
      <c r="U104" s="14"/>
      <c r="V104" s="14"/>
      <c r="W104" s="14"/>
      <c r="X104" s="14"/>
      <c r="Y104" s="19"/>
      <c r="Z104" s="96"/>
      <c r="AA104" s="94"/>
      <c r="AB104" s="94"/>
      <c r="AC104" s="14"/>
      <c r="AD104" s="14"/>
      <c r="AE104" s="14"/>
      <c r="AF104" s="14"/>
      <c r="AG104" s="19"/>
      <c r="AH104" s="96"/>
      <c r="AI104" s="94"/>
      <c r="AJ104" s="94"/>
      <c r="AK104" s="14"/>
      <c r="AL104" s="14"/>
      <c r="AM104" s="14"/>
      <c r="AN104" s="14"/>
      <c r="AO104" s="19"/>
      <c r="AP104" s="96"/>
      <c r="AQ104" s="94"/>
      <c r="AR104" s="94"/>
      <c r="AS104" s="14"/>
      <c r="AT104" s="14"/>
      <c r="AU104" s="14"/>
      <c r="AV104" s="14"/>
      <c r="AW104" s="19"/>
      <c r="AX104" s="96"/>
      <c r="AY104" s="94"/>
      <c r="AZ104" s="94"/>
      <c r="BA104" s="14"/>
      <c r="BB104" s="14"/>
      <c r="BC104" s="14"/>
      <c r="BD104" s="14"/>
      <c r="BE104" s="19"/>
      <c r="BF104" s="96"/>
      <c r="BG104" s="94"/>
      <c r="BH104" s="94"/>
      <c r="BI104" s="14"/>
      <c r="BJ104" s="14"/>
      <c r="BK104" s="14"/>
      <c r="BL104" s="14"/>
      <c r="BM104" s="19"/>
      <c r="BN104" s="96"/>
      <c r="BO104" s="94"/>
      <c r="BP104" s="94"/>
      <c r="BQ104" s="14"/>
      <c r="BR104" s="14"/>
      <c r="BS104" s="14"/>
      <c r="BT104" s="14"/>
      <c r="BU104" s="19"/>
      <c r="BV104" s="96"/>
      <c r="BW104" s="94"/>
      <c r="BX104" s="94"/>
      <c r="BY104" s="14"/>
      <c r="BZ104" s="14"/>
      <c r="CA104" s="14"/>
      <c r="CB104" s="14"/>
      <c r="CC104" s="19"/>
      <c r="CD104" s="96"/>
      <c r="CE104" s="94"/>
      <c r="CF104" s="94"/>
      <c r="CG104" s="14"/>
      <c r="CH104" s="14"/>
      <c r="CI104" s="14"/>
      <c r="CJ104" s="14"/>
      <c r="CK104" s="19"/>
      <c r="CL104" s="96"/>
      <c r="CM104" s="94"/>
      <c r="CN104" s="94"/>
      <c r="CO104" s="14"/>
      <c r="CP104" s="14"/>
      <c r="CQ104" s="14"/>
      <c r="CR104" s="14"/>
      <c r="CS104" s="19"/>
      <c r="CT104" s="96"/>
      <c r="CU104" s="94"/>
      <c r="CV104" s="94"/>
      <c r="CW104" s="14"/>
      <c r="CX104" s="14"/>
      <c r="CY104" s="14"/>
      <c r="CZ104" s="14"/>
      <c r="DA104" s="19"/>
      <c r="DB104" s="96"/>
      <c r="DC104" s="94"/>
      <c r="DD104" s="94"/>
      <c r="DE104" s="14"/>
      <c r="DF104" s="14"/>
      <c r="DG104" s="14"/>
      <c r="DH104" s="14"/>
      <c r="DI104" s="19"/>
      <c r="DJ104" s="96"/>
      <c r="DK104" s="94"/>
      <c r="DL104" s="94"/>
      <c r="DM104" s="14"/>
      <c r="DN104" s="14"/>
      <c r="DO104" s="14"/>
      <c r="DP104" s="14"/>
      <c r="DQ104" s="19"/>
      <c r="DR104" s="96"/>
      <c r="DS104" s="94"/>
      <c r="DT104" s="94"/>
      <c r="DU104" s="14"/>
      <c r="DV104" s="14"/>
      <c r="DW104" s="14"/>
      <c r="DX104" s="14"/>
      <c r="DY104" s="19"/>
      <c r="DZ104" s="96"/>
      <c r="EA104" s="94"/>
      <c r="EB104" s="94"/>
      <c r="EC104" s="14"/>
      <c r="ED104" s="14"/>
      <c r="EE104" s="14"/>
      <c r="EF104" s="14"/>
      <c r="EG104" s="19"/>
      <c r="EH104" s="96"/>
      <c r="EI104" s="94"/>
      <c r="EJ104" s="94"/>
      <c r="EK104" s="14"/>
      <c r="EL104" s="14"/>
      <c r="EM104" s="14"/>
      <c r="EN104" s="14"/>
      <c r="EO104" s="19"/>
      <c r="EP104" s="96"/>
      <c r="EQ104" s="94"/>
      <c r="ER104" s="94"/>
      <c r="ES104" s="14"/>
      <c r="ET104" s="14"/>
      <c r="EU104" s="14"/>
      <c r="EV104" s="14"/>
      <c r="EW104" s="19"/>
      <c r="EX104" s="96"/>
      <c r="EY104" s="94"/>
      <c r="EZ104" s="94"/>
      <c r="FA104" s="14"/>
      <c r="FB104" s="14"/>
      <c r="FC104" s="14"/>
      <c r="FD104" s="14"/>
      <c r="FE104" s="19"/>
      <c r="FF104" s="96"/>
      <c r="FG104" s="94"/>
      <c r="FH104" s="94"/>
      <c r="FI104" s="14"/>
      <c r="FJ104" s="14"/>
      <c r="FK104" s="14"/>
      <c r="FL104" s="14"/>
      <c r="FM104" s="19"/>
      <c r="FN104" s="96"/>
      <c r="FO104" s="94"/>
      <c r="FP104" s="94"/>
      <c r="FQ104" s="14"/>
      <c r="FR104" s="14"/>
      <c r="FS104" s="14"/>
      <c r="FT104" s="14"/>
      <c r="FU104" s="19"/>
      <c r="FV104" s="96"/>
      <c r="FW104" s="94"/>
      <c r="FX104" s="94"/>
      <c r="FY104" s="14"/>
      <c r="FZ104" s="14"/>
      <c r="GA104" s="14"/>
      <c r="GB104" s="14"/>
      <c r="GC104" s="19"/>
      <c r="GD104" s="96"/>
      <c r="GE104" s="94"/>
      <c r="GF104" s="94"/>
      <c r="GG104" s="14"/>
      <c r="GH104" s="14"/>
      <c r="GI104" s="14"/>
      <c r="GJ104" s="14"/>
      <c r="GK104" s="19"/>
      <c r="GL104" s="96"/>
      <c r="GM104" s="94"/>
      <c r="GN104" s="94"/>
      <c r="GO104" s="14"/>
      <c r="GP104" s="14"/>
      <c r="GQ104" s="14"/>
      <c r="GR104" s="14"/>
      <c r="GS104" s="19"/>
      <c r="GT104" s="96"/>
      <c r="GU104" s="94"/>
      <c r="GV104" s="94"/>
      <c r="GW104" s="14"/>
      <c r="GX104" s="14"/>
      <c r="GY104" s="14"/>
      <c r="GZ104" s="14"/>
      <c r="HA104" s="19"/>
      <c r="HB104" s="96"/>
      <c r="HC104" s="94"/>
      <c r="HD104" s="94"/>
      <c r="HE104" s="14"/>
      <c r="HF104" s="14"/>
      <c r="HG104" s="14"/>
      <c r="HH104" s="14"/>
      <c r="HI104" s="19"/>
      <c r="HJ104" s="96"/>
      <c r="HK104" s="94"/>
      <c r="HL104" s="94"/>
      <c r="HM104" s="14"/>
      <c r="HN104" s="14"/>
      <c r="HO104" s="14"/>
      <c r="HP104" s="14"/>
      <c r="HQ104" s="19"/>
      <c r="HR104" s="96"/>
      <c r="HS104" s="94"/>
      <c r="HT104" s="94"/>
      <c r="HU104" s="14"/>
      <c r="HV104" s="14"/>
      <c r="HW104" s="14"/>
      <c r="HX104" s="14"/>
      <c r="HY104" s="19"/>
      <c r="HZ104" s="96"/>
      <c r="IA104" s="94"/>
      <c r="IB104" s="94"/>
      <c r="IC104" s="14"/>
      <c r="ID104" s="14"/>
      <c r="IE104" s="14"/>
      <c r="IF104" s="14"/>
      <c r="IG104" s="19"/>
      <c r="IH104" s="96"/>
      <c r="II104" s="94"/>
      <c r="IJ104" s="94"/>
      <c r="IK104" s="14"/>
      <c r="IL104" s="14"/>
      <c r="IM104" s="14"/>
      <c r="IN104" s="14"/>
    </row>
    <row r="105" spans="1:248" s="13" customFormat="1" ht="12.75">
      <c r="A105" s="49"/>
      <c r="B105" s="83" t="s">
        <v>261</v>
      </c>
      <c r="C105" s="103" t="s">
        <v>264</v>
      </c>
      <c r="D105" s="33">
        <v>200</v>
      </c>
      <c r="E105" s="64">
        <v>1</v>
      </c>
      <c r="F105" s="64">
        <v>1</v>
      </c>
      <c r="G105" s="33">
        <v>200</v>
      </c>
      <c r="H105" s="104">
        <f t="shared" si="3"/>
        <v>5351.85324224142</v>
      </c>
      <c r="I105" s="35"/>
      <c r="J105" s="6"/>
      <c r="K105" s="6"/>
      <c r="L105" s="94"/>
      <c r="M105" s="14"/>
      <c r="N105" s="14"/>
      <c r="O105" s="14"/>
      <c r="P105" s="14"/>
      <c r="Q105" s="19"/>
      <c r="R105" s="96"/>
      <c r="S105" s="94"/>
      <c r="T105" s="94"/>
      <c r="U105" s="14"/>
      <c r="V105" s="14"/>
      <c r="W105" s="14"/>
      <c r="X105" s="14"/>
      <c r="Y105" s="19"/>
      <c r="Z105" s="96"/>
      <c r="AA105" s="94"/>
      <c r="AB105" s="94"/>
      <c r="AC105" s="14"/>
      <c r="AD105" s="14"/>
      <c r="AE105" s="14"/>
      <c r="AF105" s="14"/>
      <c r="AG105" s="19"/>
      <c r="AH105" s="96"/>
      <c r="AI105" s="94"/>
      <c r="AJ105" s="94"/>
      <c r="AK105" s="14"/>
      <c r="AL105" s="14"/>
      <c r="AM105" s="14"/>
      <c r="AN105" s="14"/>
      <c r="AO105" s="19"/>
      <c r="AP105" s="96"/>
      <c r="AQ105" s="94"/>
      <c r="AR105" s="94"/>
      <c r="AS105" s="14"/>
      <c r="AT105" s="14"/>
      <c r="AU105" s="14"/>
      <c r="AV105" s="14"/>
      <c r="AW105" s="19"/>
      <c r="AX105" s="96"/>
      <c r="AY105" s="94"/>
      <c r="AZ105" s="94"/>
      <c r="BA105" s="14"/>
      <c r="BB105" s="14"/>
      <c r="BC105" s="14"/>
      <c r="BD105" s="14"/>
      <c r="BE105" s="19"/>
      <c r="BF105" s="96"/>
      <c r="BG105" s="94"/>
      <c r="BH105" s="94"/>
      <c r="BI105" s="14"/>
      <c r="BJ105" s="14"/>
      <c r="BK105" s="14"/>
      <c r="BL105" s="14"/>
      <c r="BM105" s="19"/>
      <c r="BN105" s="96"/>
      <c r="BO105" s="94"/>
      <c r="BP105" s="94"/>
      <c r="BQ105" s="14"/>
      <c r="BR105" s="14"/>
      <c r="BS105" s="14"/>
      <c r="BT105" s="14"/>
      <c r="BU105" s="19"/>
      <c r="BV105" s="96"/>
      <c r="BW105" s="94"/>
      <c r="BX105" s="94"/>
      <c r="BY105" s="14"/>
      <c r="BZ105" s="14"/>
      <c r="CA105" s="14"/>
      <c r="CB105" s="14"/>
      <c r="CC105" s="19"/>
      <c r="CD105" s="96"/>
      <c r="CE105" s="94"/>
      <c r="CF105" s="94"/>
      <c r="CG105" s="14"/>
      <c r="CH105" s="14"/>
      <c r="CI105" s="14"/>
      <c r="CJ105" s="14"/>
      <c r="CK105" s="19"/>
      <c r="CL105" s="96"/>
      <c r="CM105" s="94"/>
      <c r="CN105" s="94"/>
      <c r="CO105" s="14"/>
      <c r="CP105" s="14"/>
      <c r="CQ105" s="14"/>
      <c r="CR105" s="14"/>
      <c r="CS105" s="19"/>
      <c r="CT105" s="96"/>
      <c r="CU105" s="94"/>
      <c r="CV105" s="94"/>
      <c r="CW105" s="14"/>
      <c r="CX105" s="14"/>
      <c r="CY105" s="14"/>
      <c r="CZ105" s="14"/>
      <c r="DA105" s="19"/>
      <c r="DB105" s="96"/>
      <c r="DC105" s="94"/>
      <c r="DD105" s="94"/>
      <c r="DE105" s="14"/>
      <c r="DF105" s="14"/>
      <c r="DG105" s="14"/>
      <c r="DH105" s="14"/>
      <c r="DI105" s="19"/>
      <c r="DJ105" s="96"/>
      <c r="DK105" s="94"/>
      <c r="DL105" s="94"/>
      <c r="DM105" s="14"/>
      <c r="DN105" s="14"/>
      <c r="DO105" s="14"/>
      <c r="DP105" s="14"/>
      <c r="DQ105" s="19"/>
      <c r="DR105" s="96"/>
      <c r="DS105" s="94"/>
      <c r="DT105" s="94"/>
      <c r="DU105" s="14"/>
      <c r="DV105" s="14"/>
      <c r="DW105" s="14"/>
      <c r="DX105" s="14"/>
      <c r="DY105" s="19"/>
      <c r="DZ105" s="96"/>
      <c r="EA105" s="94"/>
      <c r="EB105" s="94"/>
      <c r="EC105" s="14"/>
      <c r="ED105" s="14"/>
      <c r="EE105" s="14"/>
      <c r="EF105" s="14"/>
      <c r="EG105" s="19"/>
      <c r="EH105" s="96"/>
      <c r="EI105" s="94"/>
      <c r="EJ105" s="94"/>
      <c r="EK105" s="14"/>
      <c r="EL105" s="14"/>
      <c r="EM105" s="14"/>
      <c r="EN105" s="14"/>
      <c r="EO105" s="19"/>
      <c r="EP105" s="96"/>
      <c r="EQ105" s="94"/>
      <c r="ER105" s="94"/>
      <c r="ES105" s="14"/>
      <c r="ET105" s="14"/>
      <c r="EU105" s="14"/>
      <c r="EV105" s="14"/>
      <c r="EW105" s="19"/>
      <c r="EX105" s="96"/>
      <c r="EY105" s="94"/>
      <c r="EZ105" s="94"/>
      <c r="FA105" s="14"/>
      <c r="FB105" s="14"/>
      <c r="FC105" s="14"/>
      <c r="FD105" s="14"/>
      <c r="FE105" s="19"/>
      <c r="FF105" s="96"/>
      <c r="FG105" s="94"/>
      <c r="FH105" s="94"/>
      <c r="FI105" s="14"/>
      <c r="FJ105" s="14"/>
      <c r="FK105" s="14"/>
      <c r="FL105" s="14"/>
      <c r="FM105" s="19"/>
      <c r="FN105" s="96"/>
      <c r="FO105" s="94"/>
      <c r="FP105" s="94"/>
      <c r="FQ105" s="14"/>
      <c r="FR105" s="14"/>
      <c r="FS105" s="14"/>
      <c r="FT105" s="14"/>
      <c r="FU105" s="19"/>
      <c r="FV105" s="96"/>
      <c r="FW105" s="94"/>
      <c r="FX105" s="94"/>
      <c r="FY105" s="14"/>
      <c r="FZ105" s="14"/>
      <c r="GA105" s="14"/>
      <c r="GB105" s="14"/>
      <c r="GC105" s="19"/>
      <c r="GD105" s="96"/>
      <c r="GE105" s="94"/>
      <c r="GF105" s="94"/>
      <c r="GG105" s="14"/>
      <c r="GH105" s="14"/>
      <c r="GI105" s="14"/>
      <c r="GJ105" s="14"/>
      <c r="GK105" s="19"/>
      <c r="GL105" s="96"/>
      <c r="GM105" s="94"/>
      <c r="GN105" s="94"/>
      <c r="GO105" s="14"/>
      <c r="GP105" s="14"/>
      <c r="GQ105" s="14"/>
      <c r="GR105" s="14"/>
      <c r="GS105" s="19"/>
      <c r="GT105" s="96"/>
      <c r="GU105" s="94"/>
      <c r="GV105" s="94"/>
      <c r="GW105" s="14"/>
      <c r="GX105" s="14"/>
      <c r="GY105" s="14"/>
      <c r="GZ105" s="14"/>
      <c r="HA105" s="19"/>
      <c r="HB105" s="96"/>
      <c r="HC105" s="94"/>
      <c r="HD105" s="94"/>
      <c r="HE105" s="14"/>
      <c r="HF105" s="14"/>
      <c r="HG105" s="14"/>
      <c r="HH105" s="14"/>
      <c r="HI105" s="19"/>
      <c r="HJ105" s="96"/>
      <c r="HK105" s="94"/>
      <c r="HL105" s="94"/>
      <c r="HM105" s="14"/>
      <c r="HN105" s="14"/>
      <c r="HO105" s="14"/>
      <c r="HP105" s="14"/>
      <c r="HQ105" s="19"/>
      <c r="HR105" s="96"/>
      <c r="HS105" s="94"/>
      <c r="HT105" s="94"/>
      <c r="HU105" s="14"/>
      <c r="HV105" s="14"/>
      <c r="HW105" s="14"/>
      <c r="HX105" s="14"/>
      <c r="HY105" s="19"/>
      <c r="HZ105" s="96"/>
      <c r="IA105" s="94"/>
      <c r="IB105" s="94"/>
      <c r="IC105" s="14"/>
      <c r="ID105" s="14"/>
      <c r="IE105" s="14"/>
      <c r="IF105" s="14"/>
      <c r="IG105" s="19"/>
      <c r="IH105" s="96"/>
      <c r="II105" s="94"/>
      <c r="IJ105" s="94"/>
      <c r="IK105" s="14"/>
      <c r="IL105" s="14"/>
      <c r="IM105" s="14"/>
      <c r="IN105" s="14"/>
    </row>
    <row r="106" spans="1:248" s="13" customFormat="1" ht="25.5">
      <c r="A106" s="49"/>
      <c r="B106" s="66" t="s">
        <v>272</v>
      </c>
      <c r="C106" s="103" t="s">
        <v>264</v>
      </c>
      <c r="D106" s="33">
        <v>150</v>
      </c>
      <c r="E106" s="64">
        <v>1</v>
      </c>
      <c r="F106" s="64">
        <v>1</v>
      </c>
      <c r="G106" s="33">
        <v>150</v>
      </c>
      <c r="H106" s="104">
        <f t="shared" si="3"/>
        <v>4013.8899316810653</v>
      </c>
      <c r="I106" s="35"/>
      <c r="J106" s="6"/>
      <c r="K106" s="6"/>
      <c r="L106" s="94"/>
      <c r="M106" s="14"/>
      <c r="N106" s="14"/>
      <c r="O106" s="14"/>
      <c r="P106" s="14"/>
      <c r="Q106" s="19"/>
      <c r="R106" s="96"/>
      <c r="S106" s="94"/>
      <c r="T106" s="94"/>
      <c r="U106" s="14"/>
      <c r="V106" s="14"/>
      <c r="W106" s="14"/>
      <c r="X106" s="14"/>
      <c r="Y106" s="19"/>
      <c r="Z106" s="96"/>
      <c r="AA106" s="94"/>
      <c r="AB106" s="94"/>
      <c r="AC106" s="14"/>
      <c r="AD106" s="14"/>
      <c r="AE106" s="14"/>
      <c r="AF106" s="14"/>
      <c r="AG106" s="19"/>
      <c r="AH106" s="96"/>
      <c r="AI106" s="94"/>
      <c r="AJ106" s="94"/>
      <c r="AK106" s="14"/>
      <c r="AL106" s="14"/>
      <c r="AM106" s="14"/>
      <c r="AN106" s="14"/>
      <c r="AO106" s="19"/>
      <c r="AP106" s="96"/>
      <c r="AQ106" s="94"/>
      <c r="AR106" s="94"/>
      <c r="AS106" s="14"/>
      <c r="AT106" s="14"/>
      <c r="AU106" s="14"/>
      <c r="AV106" s="14"/>
      <c r="AW106" s="19"/>
      <c r="AX106" s="96"/>
      <c r="AY106" s="94"/>
      <c r="AZ106" s="94"/>
      <c r="BA106" s="14"/>
      <c r="BB106" s="14"/>
      <c r="BC106" s="14"/>
      <c r="BD106" s="14"/>
      <c r="BE106" s="19"/>
      <c r="BF106" s="96"/>
      <c r="BG106" s="94"/>
      <c r="BH106" s="94"/>
      <c r="BI106" s="14"/>
      <c r="BJ106" s="14"/>
      <c r="BK106" s="14"/>
      <c r="BL106" s="14"/>
      <c r="BM106" s="19"/>
      <c r="BN106" s="96"/>
      <c r="BO106" s="94"/>
      <c r="BP106" s="94"/>
      <c r="BQ106" s="14"/>
      <c r="BR106" s="14"/>
      <c r="BS106" s="14"/>
      <c r="BT106" s="14"/>
      <c r="BU106" s="19"/>
      <c r="BV106" s="96"/>
      <c r="BW106" s="94"/>
      <c r="BX106" s="94"/>
      <c r="BY106" s="14"/>
      <c r="BZ106" s="14"/>
      <c r="CA106" s="14"/>
      <c r="CB106" s="14"/>
      <c r="CC106" s="19"/>
      <c r="CD106" s="96"/>
      <c r="CE106" s="94"/>
      <c r="CF106" s="94"/>
      <c r="CG106" s="14"/>
      <c r="CH106" s="14"/>
      <c r="CI106" s="14"/>
      <c r="CJ106" s="14"/>
      <c r="CK106" s="19"/>
      <c r="CL106" s="96"/>
      <c r="CM106" s="94"/>
      <c r="CN106" s="94"/>
      <c r="CO106" s="14"/>
      <c r="CP106" s="14"/>
      <c r="CQ106" s="14"/>
      <c r="CR106" s="14"/>
      <c r="CS106" s="19"/>
      <c r="CT106" s="96"/>
      <c r="CU106" s="94"/>
      <c r="CV106" s="94"/>
      <c r="CW106" s="14"/>
      <c r="CX106" s="14"/>
      <c r="CY106" s="14"/>
      <c r="CZ106" s="14"/>
      <c r="DA106" s="19"/>
      <c r="DB106" s="96"/>
      <c r="DC106" s="94"/>
      <c r="DD106" s="94"/>
      <c r="DE106" s="14"/>
      <c r="DF106" s="14"/>
      <c r="DG106" s="14"/>
      <c r="DH106" s="14"/>
      <c r="DI106" s="19"/>
      <c r="DJ106" s="96"/>
      <c r="DK106" s="94"/>
      <c r="DL106" s="94"/>
      <c r="DM106" s="14"/>
      <c r="DN106" s="14"/>
      <c r="DO106" s="14"/>
      <c r="DP106" s="14"/>
      <c r="DQ106" s="19"/>
      <c r="DR106" s="96"/>
      <c r="DS106" s="94"/>
      <c r="DT106" s="94"/>
      <c r="DU106" s="14"/>
      <c r="DV106" s="14"/>
      <c r="DW106" s="14"/>
      <c r="DX106" s="14"/>
      <c r="DY106" s="19"/>
      <c r="DZ106" s="96"/>
      <c r="EA106" s="94"/>
      <c r="EB106" s="94"/>
      <c r="EC106" s="14"/>
      <c r="ED106" s="14"/>
      <c r="EE106" s="14"/>
      <c r="EF106" s="14"/>
      <c r="EG106" s="19"/>
      <c r="EH106" s="96"/>
      <c r="EI106" s="94"/>
      <c r="EJ106" s="94"/>
      <c r="EK106" s="14"/>
      <c r="EL106" s="14"/>
      <c r="EM106" s="14"/>
      <c r="EN106" s="14"/>
      <c r="EO106" s="19"/>
      <c r="EP106" s="96"/>
      <c r="EQ106" s="94"/>
      <c r="ER106" s="94"/>
      <c r="ES106" s="14"/>
      <c r="ET106" s="14"/>
      <c r="EU106" s="14"/>
      <c r="EV106" s="14"/>
      <c r="EW106" s="19"/>
      <c r="EX106" s="96"/>
      <c r="EY106" s="94"/>
      <c r="EZ106" s="94"/>
      <c r="FA106" s="14"/>
      <c r="FB106" s="14"/>
      <c r="FC106" s="14"/>
      <c r="FD106" s="14"/>
      <c r="FE106" s="19"/>
      <c r="FF106" s="96"/>
      <c r="FG106" s="94"/>
      <c r="FH106" s="94"/>
      <c r="FI106" s="14"/>
      <c r="FJ106" s="14"/>
      <c r="FK106" s="14"/>
      <c r="FL106" s="14"/>
      <c r="FM106" s="19"/>
      <c r="FN106" s="96"/>
      <c r="FO106" s="94"/>
      <c r="FP106" s="94"/>
      <c r="FQ106" s="14"/>
      <c r="FR106" s="14"/>
      <c r="FS106" s="14"/>
      <c r="FT106" s="14"/>
      <c r="FU106" s="19"/>
      <c r="FV106" s="96"/>
      <c r="FW106" s="94"/>
      <c r="FX106" s="94"/>
      <c r="FY106" s="14"/>
      <c r="FZ106" s="14"/>
      <c r="GA106" s="14"/>
      <c r="GB106" s="14"/>
      <c r="GC106" s="19"/>
      <c r="GD106" s="96"/>
      <c r="GE106" s="94"/>
      <c r="GF106" s="94"/>
      <c r="GG106" s="14"/>
      <c r="GH106" s="14"/>
      <c r="GI106" s="14"/>
      <c r="GJ106" s="14"/>
      <c r="GK106" s="19"/>
      <c r="GL106" s="96"/>
      <c r="GM106" s="94"/>
      <c r="GN106" s="94"/>
      <c r="GO106" s="14"/>
      <c r="GP106" s="14"/>
      <c r="GQ106" s="14"/>
      <c r="GR106" s="14"/>
      <c r="GS106" s="19"/>
      <c r="GT106" s="96"/>
      <c r="GU106" s="94"/>
      <c r="GV106" s="94"/>
      <c r="GW106" s="14"/>
      <c r="GX106" s="14"/>
      <c r="GY106" s="14"/>
      <c r="GZ106" s="14"/>
      <c r="HA106" s="19"/>
      <c r="HB106" s="96"/>
      <c r="HC106" s="94"/>
      <c r="HD106" s="94"/>
      <c r="HE106" s="14"/>
      <c r="HF106" s="14"/>
      <c r="HG106" s="14"/>
      <c r="HH106" s="14"/>
      <c r="HI106" s="19"/>
      <c r="HJ106" s="96"/>
      <c r="HK106" s="94"/>
      <c r="HL106" s="94"/>
      <c r="HM106" s="14"/>
      <c r="HN106" s="14"/>
      <c r="HO106" s="14"/>
      <c r="HP106" s="14"/>
      <c r="HQ106" s="19"/>
      <c r="HR106" s="96"/>
      <c r="HS106" s="94"/>
      <c r="HT106" s="94"/>
      <c r="HU106" s="14"/>
      <c r="HV106" s="14"/>
      <c r="HW106" s="14"/>
      <c r="HX106" s="14"/>
      <c r="HY106" s="19"/>
      <c r="HZ106" s="96"/>
      <c r="IA106" s="94"/>
      <c r="IB106" s="94"/>
      <c r="IC106" s="14"/>
      <c r="ID106" s="14"/>
      <c r="IE106" s="14"/>
      <c r="IF106" s="14"/>
      <c r="IG106" s="19"/>
      <c r="IH106" s="96"/>
      <c r="II106" s="94"/>
      <c r="IJ106" s="94"/>
      <c r="IK106" s="14"/>
      <c r="IL106" s="14"/>
      <c r="IM106" s="14"/>
      <c r="IN106" s="14"/>
    </row>
    <row r="107" spans="1:248" s="13" customFormat="1" ht="12.75">
      <c r="A107" s="49"/>
      <c r="B107" s="66" t="s">
        <v>317</v>
      </c>
      <c r="C107" s="103" t="s">
        <v>264</v>
      </c>
      <c r="D107" s="33">
        <f>100+32</f>
        <v>132</v>
      </c>
      <c r="E107" s="64">
        <v>1</v>
      </c>
      <c r="F107" s="64">
        <v>1</v>
      </c>
      <c r="G107" s="33">
        <f>100+32</f>
        <v>132</v>
      </c>
      <c r="H107" s="104">
        <f t="shared" si="3"/>
        <v>3532.2231398793374</v>
      </c>
      <c r="I107" s="35"/>
      <c r="J107" s="6"/>
      <c r="K107" s="6"/>
      <c r="L107" s="94"/>
      <c r="M107" s="14"/>
      <c r="N107" s="14"/>
      <c r="O107" s="14"/>
      <c r="P107" s="14"/>
      <c r="Q107" s="19"/>
      <c r="R107" s="96"/>
      <c r="S107" s="94"/>
      <c r="T107" s="94"/>
      <c r="U107" s="14"/>
      <c r="V107" s="14"/>
      <c r="W107" s="14"/>
      <c r="X107" s="14"/>
      <c r="Y107" s="19"/>
      <c r="Z107" s="96"/>
      <c r="AA107" s="94"/>
      <c r="AB107" s="94"/>
      <c r="AC107" s="14"/>
      <c r="AD107" s="14"/>
      <c r="AE107" s="14"/>
      <c r="AF107" s="14"/>
      <c r="AG107" s="19"/>
      <c r="AH107" s="96"/>
      <c r="AI107" s="94"/>
      <c r="AJ107" s="94"/>
      <c r="AK107" s="14"/>
      <c r="AL107" s="14"/>
      <c r="AM107" s="14"/>
      <c r="AN107" s="14"/>
      <c r="AO107" s="19"/>
      <c r="AP107" s="96"/>
      <c r="AQ107" s="94"/>
      <c r="AR107" s="94"/>
      <c r="AS107" s="14"/>
      <c r="AT107" s="14"/>
      <c r="AU107" s="14"/>
      <c r="AV107" s="14"/>
      <c r="AW107" s="19"/>
      <c r="AX107" s="96"/>
      <c r="AY107" s="94"/>
      <c r="AZ107" s="94"/>
      <c r="BA107" s="14"/>
      <c r="BB107" s="14"/>
      <c r="BC107" s="14"/>
      <c r="BD107" s="14"/>
      <c r="BE107" s="19"/>
      <c r="BF107" s="96"/>
      <c r="BG107" s="94"/>
      <c r="BH107" s="94"/>
      <c r="BI107" s="14"/>
      <c r="BJ107" s="14"/>
      <c r="BK107" s="14"/>
      <c r="BL107" s="14"/>
      <c r="BM107" s="19"/>
      <c r="BN107" s="96"/>
      <c r="BO107" s="94"/>
      <c r="BP107" s="94"/>
      <c r="BQ107" s="14"/>
      <c r="BR107" s="14"/>
      <c r="BS107" s="14"/>
      <c r="BT107" s="14"/>
      <c r="BU107" s="19"/>
      <c r="BV107" s="96"/>
      <c r="BW107" s="94"/>
      <c r="BX107" s="94"/>
      <c r="BY107" s="14"/>
      <c r="BZ107" s="14"/>
      <c r="CA107" s="14"/>
      <c r="CB107" s="14"/>
      <c r="CC107" s="19"/>
      <c r="CD107" s="96"/>
      <c r="CE107" s="94"/>
      <c r="CF107" s="94"/>
      <c r="CG107" s="14"/>
      <c r="CH107" s="14"/>
      <c r="CI107" s="14"/>
      <c r="CJ107" s="14"/>
      <c r="CK107" s="19"/>
      <c r="CL107" s="96"/>
      <c r="CM107" s="94"/>
      <c r="CN107" s="94"/>
      <c r="CO107" s="14"/>
      <c r="CP107" s="14"/>
      <c r="CQ107" s="14"/>
      <c r="CR107" s="14"/>
      <c r="CS107" s="19"/>
      <c r="CT107" s="96"/>
      <c r="CU107" s="94"/>
      <c r="CV107" s="94"/>
      <c r="CW107" s="14"/>
      <c r="CX107" s="14"/>
      <c r="CY107" s="14"/>
      <c r="CZ107" s="14"/>
      <c r="DA107" s="19"/>
      <c r="DB107" s="96"/>
      <c r="DC107" s="94"/>
      <c r="DD107" s="94"/>
      <c r="DE107" s="14"/>
      <c r="DF107" s="14"/>
      <c r="DG107" s="14"/>
      <c r="DH107" s="14"/>
      <c r="DI107" s="19"/>
      <c r="DJ107" s="96"/>
      <c r="DK107" s="94"/>
      <c r="DL107" s="94"/>
      <c r="DM107" s="14"/>
      <c r="DN107" s="14"/>
      <c r="DO107" s="14"/>
      <c r="DP107" s="14"/>
      <c r="DQ107" s="19"/>
      <c r="DR107" s="96"/>
      <c r="DS107" s="94"/>
      <c r="DT107" s="94"/>
      <c r="DU107" s="14"/>
      <c r="DV107" s="14"/>
      <c r="DW107" s="14"/>
      <c r="DX107" s="14"/>
      <c r="DY107" s="19"/>
      <c r="DZ107" s="96"/>
      <c r="EA107" s="94"/>
      <c r="EB107" s="94"/>
      <c r="EC107" s="14"/>
      <c r="ED107" s="14"/>
      <c r="EE107" s="14"/>
      <c r="EF107" s="14"/>
      <c r="EG107" s="19"/>
      <c r="EH107" s="96"/>
      <c r="EI107" s="94"/>
      <c r="EJ107" s="94"/>
      <c r="EK107" s="14"/>
      <c r="EL107" s="14"/>
      <c r="EM107" s="14"/>
      <c r="EN107" s="14"/>
      <c r="EO107" s="19"/>
      <c r="EP107" s="96"/>
      <c r="EQ107" s="94"/>
      <c r="ER107" s="94"/>
      <c r="ES107" s="14"/>
      <c r="ET107" s="14"/>
      <c r="EU107" s="14"/>
      <c r="EV107" s="14"/>
      <c r="EW107" s="19"/>
      <c r="EX107" s="96"/>
      <c r="EY107" s="94"/>
      <c r="EZ107" s="94"/>
      <c r="FA107" s="14"/>
      <c r="FB107" s="14"/>
      <c r="FC107" s="14"/>
      <c r="FD107" s="14"/>
      <c r="FE107" s="19"/>
      <c r="FF107" s="96"/>
      <c r="FG107" s="94"/>
      <c r="FH107" s="94"/>
      <c r="FI107" s="14"/>
      <c r="FJ107" s="14"/>
      <c r="FK107" s="14"/>
      <c r="FL107" s="14"/>
      <c r="FM107" s="19"/>
      <c r="FN107" s="96"/>
      <c r="FO107" s="94"/>
      <c r="FP107" s="94"/>
      <c r="FQ107" s="14"/>
      <c r="FR107" s="14"/>
      <c r="FS107" s="14"/>
      <c r="FT107" s="14"/>
      <c r="FU107" s="19"/>
      <c r="FV107" s="96"/>
      <c r="FW107" s="94"/>
      <c r="FX107" s="94"/>
      <c r="FY107" s="14"/>
      <c r="FZ107" s="14"/>
      <c r="GA107" s="14"/>
      <c r="GB107" s="14"/>
      <c r="GC107" s="19"/>
      <c r="GD107" s="96"/>
      <c r="GE107" s="94"/>
      <c r="GF107" s="94"/>
      <c r="GG107" s="14"/>
      <c r="GH107" s="14"/>
      <c r="GI107" s="14"/>
      <c r="GJ107" s="14"/>
      <c r="GK107" s="19"/>
      <c r="GL107" s="96"/>
      <c r="GM107" s="94"/>
      <c r="GN107" s="94"/>
      <c r="GO107" s="14"/>
      <c r="GP107" s="14"/>
      <c r="GQ107" s="14"/>
      <c r="GR107" s="14"/>
      <c r="GS107" s="19"/>
      <c r="GT107" s="96"/>
      <c r="GU107" s="94"/>
      <c r="GV107" s="94"/>
      <c r="GW107" s="14"/>
      <c r="GX107" s="14"/>
      <c r="GY107" s="14"/>
      <c r="GZ107" s="14"/>
      <c r="HA107" s="19"/>
      <c r="HB107" s="96"/>
      <c r="HC107" s="94"/>
      <c r="HD107" s="94"/>
      <c r="HE107" s="14"/>
      <c r="HF107" s="14"/>
      <c r="HG107" s="14"/>
      <c r="HH107" s="14"/>
      <c r="HI107" s="19"/>
      <c r="HJ107" s="96"/>
      <c r="HK107" s="94"/>
      <c r="HL107" s="94"/>
      <c r="HM107" s="14"/>
      <c r="HN107" s="14"/>
      <c r="HO107" s="14"/>
      <c r="HP107" s="14"/>
      <c r="HQ107" s="19"/>
      <c r="HR107" s="96"/>
      <c r="HS107" s="94"/>
      <c r="HT107" s="94"/>
      <c r="HU107" s="14"/>
      <c r="HV107" s="14"/>
      <c r="HW107" s="14"/>
      <c r="HX107" s="14"/>
      <c r="HY107" s="19"/>
      <c r="HZ107" s="96"/>
      <c r="IA107" s="94"/>
      <c r="IB107" s="94"/>
      <c r="IC107" s="14"/>
      <c r="ID107" s="14"/>
      <c r="IE107" s="14"/>
      <c r="IF107" s="14"/>
      <c r="IG107" s="19"/>
      <c r="IH107" s="96"/>
      <c r="II107" s="94"/>
      <c r="IJ107" s="94"/>
      <c r="IK107" s="14"/>
      <c r="IL107" s="14"/>
      <c r="IM107" s="14"/>
      <c r="IN107" s="14"/>
    </row>
    <row r="108" spans="1:248" s="13" customFormat="1" ht="12.75">
      <c r="A108" s="49"/>
      <c r="B108" s="83" t="s">
        <v>253</v>
      </c>
      <c r="C108" s="103" t="s">
        <v>264</v>
      </c>
      <c r="D108" s="33">
        <v>60</v>
      </c>
      <c r="E108" s="64">
        <v>1</v>
      </c>
      <c r="F108" s="64">
        <v>1</v>
      </c>
      <c r="G108" s="33">
        <v>60</v>
      </c>
      <c r="H108" s="104">
        <f t="shared" si="3"/>
        <v>1605.5559726724262</v>
      </c>
      <c r="I108" s="35"/>
      <c r="J108" s="6"/>
      <c r="K108" s="6"/>
      <c r="L108" s="94"/>
      <c r="M108" s="14"/>
      <c r="N108" s="14"/>
      <c r="O108" s="14"/>
      <c r="P108" s="14"/>
      <c r="Q108" s="19"/>
      <c r="R108" s="96"/>
      <c r="S108" s="94"/>
      <c r="T108" s="94"/>
      <c r="U108" s="14"/>
      <c r="V108" s="14"/>
      <c r="W108" s="14"/>
      <c r="X108" s="14"/>
      <c r="Y108" s="19"/>
      <c r="Z108" s="96"/>
      <c r="AA108" s="94"/>
      <c r="AB108" s="94"/>
      <c r="AC108" s="14"/>
      <c r="AD108" s="14"/>
      <c r="AE108" s="14"/>
      <c r="AF108" s="14"/>
      <c r="AG108" s="19"/>
      <c r="AH108" s="96"/>
      <c r="AI108" s="94"/>
      <c r="AJ108" s="94"/>
      <c r="AK108" s="14"/>
      <c r="AL108" s="14"/>
      <c r="AM108" s="14"/>
      <c r="AN108" s="14"/>
      <c r="AO108" s="19"/>
      <c r="AP108" s="96"/>
      <c r="AQ108" s="94"/>
      <c r="AR108" s="94"/>
      <c r="AS108" s="14"/>
      <c r="AT108" s="14"/>
      <c r="AU108" s="14"/>
      <c r="AV108" s="14"/>
      <c r="AW108" s="19"/>
      <c r="AX108" s="96"/>
      <c r="AY108" s="94"/>
      <c r="AZ108" s="94"/>
      <c r="BA108" s="14"/>
      <c r="BB108" s="14"/>
      <c r="BC108" s="14"/>
      <c r="BD108" s="14"/>
      <c r="BE108" s="19"/>
      <c r="BF108" s="96"/>
      <c r="BG108" s="94"/>
      <c r="BH108" s="94"/>
      <c r="BI108" s="14"/>
      <c r="BJ108" s="14"/>
      <c r="BK108" s="14"/>
      <c r="BL108" s="14"/>
      <c r="BM108" s="19"/>
      <c r="BN108" s="96"/>
      <c r="BO108" s="94"/>
      <c r="BP108" s="94"/>
      <c r="BQ108" s="14"/>
      <c r="BR108" s="14"/>
      <c r="BS108" s="14"/>
      <c r="BT108" s="14"/>
      <c r="BU108" s="19"/>
      <c r="BV108" s="96"/>
      <c r="BW108" s="94"/>
      <c r="BX108" s="94"/>
      <c r="BY108" s="14"/>
      <c r="BZ108" s="14"/>
      <c r="CA108" s="14"/>
      <c r="CB108" s="14"/>
      <c r="CC108" s="19"/>
      <c r="CD108" s="96"/>
      <c r="CE108" s="94"/>
      <c r="CF108" s="94"/>
      <c r="CG108" s="14"/>
      <c r="CH108" s="14"/>
      <c r="CI108" s="14"/>
      <c r="CJ108" s="14"/>
      <c r="CK108" s="19"/>
      <c r="CL108" s="96"/>
      <c r="CM108" s="94"/>
      <c r="CN108" s="94"/>
      <c r="CO108" s="14"/>
      <c r="CP108" s="14"/>
      <c r="CQ108" s="14"/>
      <c r="CR108" s="14"/>
      <c r="CS108" s="19"/>
      <c r="CT108" s="96"/>
      <c r="CU108" s="94"/>
      <c r="CV108" s="94"/>
      <c r="CW108" s="14"/>
      <c r="CX108" s="14"/>
      <c r="CY108" s="14"/>
      <c r="CZ108" s="14"/>
      <c r="DA108" s="19"/>
      <c r="DB108" s="96"/>
      <c r="DC108" s="94"/>
      <c r="DD108" s="94"/>
      <c r="DE108" s="14"/>
      <c r="DF108" s="14"/>
      <c r="DG108" s="14"/>
      <c r="DH108" s="14"/>
      <c r="DI108" s="19"/>
      <c r="DJ108" s="96"/>
      <c r="DK108" s="94"/>
      <c r="DL108" s="94"/>
      <c r="DM108" s="14"/>
      <c r="DN108" s="14"/>
      <c r="DO108" s="14"/>
      <c r="DP108" s="14"/>
      <c r="DQ108" s="19"/>
      <c r="DR108" s="96"/>
      <c r="DS108" s="94"/>
      <c r="DT108" s="94"/>
      <c r="DU108" s="14"/>
      <c r="DV108" s="14"/>
      <c r="DW108" s="14"/>
      <c r="DX108" s="14"/>
      <c r="DY108" s="19"/>
      <c r="DZ108" s="96"/>
      <c r="EA108" s="94"/>
      <c r="EB108" s="94"/>
      <c r="EC108" s="14"/>
      <c r="ED108" s="14"/>
      <c r="EE108" s="14"/>
      <c r="EF108" s="14"/>
      <c r="EG108" s="19"/>
      <c r="EH108" s="96"/>
      <c r="EI108" s="94"/>
      <c r="EJ108" s="94"/>
      <c r="EK108" s="14"/>
      <c r="EL108" s="14"/>
      <c r="EM108" s="14"/>
      <c r="EN108" s="14"/>
      <c r="EO108" s="19"/>
      <c r="EP108" s="96"/>
      <c r="EQ108" s="94"/>
      <c r="ER108" s="94"/>
      <c r="ES108" s="14"/>
      <c r="ET108" s="14"/>
      <c r="EU108" s="14"/>
      <c r="EV108" s="14"/>
      <c r="EW108" s="19"/>
      <c r="EX108" s="96"/>
      <c r="EY108" s="94"/>
      <c r="EZ108" s="94"/>
      <c r="FA108" s="14"/>
      <c r="FB108" s="14"/>
      <c r="FC108" s="14"/>
      <c r="FD108" s="14"/>
      <c r="FE108" s="19"/>
      <c r="FF108" s="96"/>
      <c r="FG108" s="94"/>
      <c r="FH108" s="94"/>
      <c r="FI108" s="14"/>
      <c r="FJ108" s="14"/>
      <c r="FK108" s="14"/>
      <c r="FL108" s="14"/>
      <c r="FM108" s="19"/>
      <c r="FN108" s="96"/>
      <c r="FO108" s="94"/>
      <c r="FP108" s="94"/>
      <c r="FQ108" s="14"/>
      <c r="FR108" s="14"/>
      <c r="FS108" s="14"/>
      <c r="FT108" s="14"/>
      <c r="FU108" s="19"/>
      <c r="FV108" s="96"/>
      <c r="FW108" s="94"/>
      <c r="FX108" s="94"/>
      <c r="FY108" s="14"/>
      <c r="FZ108" s="14"/>
      <c r="GA108" s="14"/>
      <c r="GB108" s="14"/>
      <c r="GC108" s="19"/>
      <c r="GD108" s="96"/>
      <c r="GE108" s="94"/>
      <c r="GF108" s="94"/>
      <c r="GG108" s="14"/>
      <c r="GH108" s="14"/>
      <c r="GI108" s="14"/>
      <c r="GJ108" s="14"/>
      <c r="GK108" s="19"/>
      <c r="GL108" s="96"/>
      <c r="GM108" s="94"/>
      <c r="GN108" s="94"/>
      <c r="GO108" s="14"/>
      <c r="GP108" s="14"/>
      <c r="GQ108" s="14"/>
      <c r="GR108" s="14"/>
      <c r="GS108" s="19"/>
      <c r="GT108" s="96"/>
      <c r="GU108" s="94"/>
      <c r="GV108" s="94"/>
      <c r="GW108" s="14"/>
      <c r="GX108" s="14"/>
      <c r="GY108" s="14"/>
      <c r="GZ108" s="14"/>
      <c r="HA108" s="19"/>
      <c r="HB108" s="96"/>
      <c r="HC108" s="94"/>
      <c r="HD108" s="94"/>
      <c r="HE108" s="14"/>
      <c r="HF108" s="14"/>
      <c r="HG108" s="14"/>
      <c r="HH108" s="14"/>
      <c r="HI108" s="19"/>
      <c r="HJ108" s="96"/>
      <c r="HK108" s="94"/>
      <c r="HL108" s="94"/>
      <c r="HM108" s="14"/>
      <c r="HN108" s="14"/>
      <c r="HO108" s="14"/>
      <c r="HP108" s="14"/>
      <c r="HQ108" s="19"/>
      <c r="HR108" s="96"/>
      <c r="HS108" s="94"/>
      <c r="HT108" s="94"/>
      <c r="HU108" s="14"/>
      <c r="HV108" s="14"/>
      <c r="HW108" s="14"/>
      <c r="HX108" s="14"/>
      <c r="HY108" s="19"/>
      <c r="HZ108" s="96"/>
      <c r="IA108" s="94"/>
      <c r="IB108" s="94"/>
      <c r="IC108" s="14"/>
      <c r="ID108" s="14"/>
      <c r="IE108" s="14"/>
      <c r="IF108" s="14"/>
      <c r="IG108" s="19"/>
      <c r="IH108" s="96"/>
      <c r="II108" s="94"/>
      <c r="IJ108" s="94"/>
      <c r="IK108" s="14"/>
      <c r="IL108" s="14"/>
      <c r="IM108" s="14"/>
      <c r="IN108" s="14"/>
    </row>
    <row r="109" spans="1:248" s="13" customFormat="1" ht="12.75">
      <c r="A109" s="49"/>
      <c r="B109" s="83" t="s">
        <v>316</v>
      </c>
      <c r="C109" s="103" t="s">
        <v>264</v>
      </c>
      <c r="D109" s="33">
        <v>60</v>
      </c>
      <c r="E109" s="64">
        <v>1</v>
      </c>
      <c r="F109" s="64">
        <v>1</v>
      </c>
      <c r="G109" s="33">
        <v>60</v>
      </c>
      <c r="H109" s="104">
        <f t="shared" si="3"/>
        <v>1605.5559726724262</v>
      </c>
      <c r="I109" s="35"/>
      <c r="J109" s="6"/>
      <c r="K109" s="6"/>
      <c r="L109" s="94"/>
      <c r="M109" s="14"/>
      <c r="N109" s="14"/>
      <c r="O109" s="14"/>
      <c r="P109" s="14"/>
      <c r="Q109" s="19"/>
      <c r="R109" s="96"/>
      <c r="S109" s="94"/>
      <c r="T109" s="94"/>
      <c r="U109" s="14"/>
      <c r="V109" s="14"/>
      <c r="W109" s="14"/>
      <c r="X109" s="14"/>
      <c r="Y109" s="19"/>
      <c r="Z109" s="96"/>
      <c r="AA109" s="94"/>
      <c r="AB109" s="94"/>
      <c r="AC109" s="14"/>
      <c r="AD109" s="14"/>
      <c r="AE109" s="14"/>
      <c r="AF109" s="14"/>
      <c r="AG109" s="19"/>
      <c r="AH109" s="96"/>
      <c r="AI109" s="94"/>
      <c r="AJ109" s="94"/>
      <c r="AK109" s="14"/>
      <c r="AL109" s="14"/>
      <c r="AM109" s="14"/>
      <c r="AN109" s="14"/>
      <c r="AO109" s="19"/>
      <c r="AP109" s="96"/>
      <c r="AQ109" s="94"/>
      <c r="AR109" s="94"/>
      <c r="AS109" s="14"/>
      <c r="AT109" s="14"/>
      <c r="AU109" s="14"/>
      <c r="AV109" s="14"/>
      <c r="AW109" s="19"/>
      <c r="AX109" s="96"/>
      <c r="AY109" s="94"/>
      <c r="AZ109" s="94"/>
      <c r="BA109" s="14"/>
      <c r="BB109" s="14"/>
      <c r="BC109" s="14"/>
      <c r="BD109" s="14"/>
      <c r="BE109" s="19"/>
      <c r="BF109" s="96"/>
      <c r="BG109" s="94"/>
      <c r="BH109" s="94"/>
      <c r="BI109" s="14"/>
      <c r="BJ109" s="14"/>
      <c r="BK109" s="14"/>
      <c r="BL109" s="14"/>
      <c r="BM109" s="19"/>
      <c r="BN109" s="96"/>
      <c r="BO109" s="94"/>
      <c r="BP109" s="94"/>
      <c r="BQ109" s="14"/>
      <c r="BR109" s="14"/>
      <c r="BS109" s="14"/>
      <c r="BT109" s="14"/>
      <c r="BU109" s="19"/>
      <c r="BV109" s="96"/>
      <c r="BW109" s="94"/>
      <c r="BX109" s="94"/>
      <c r="BY109" s="14"/>
      <c r="BZ109" s="14"/>
      <c r="CA109" s="14"/>
      <c r="CB109" s="14"/>
      <c r="CC109" s="19"/>
      <c r="CD109" s="96"/>
      <c r="CE109" s="94"/>
      <c r="CF109" s="94"/>
      <c r="CG109" s="14"/>
      <c r="CH109" s="14"/>
      <c r="CI109" s="14"/>
      <c r="CJ109" s="14"/>
      <c r="CK109" s="19"/>
      <c r="CL109" s="96"/>
      <c r="CM109" s="94"/>
      <c r="CN109" s="94"/>
      <c r="CO109" s="14"/>
      <c r="CP109" s="14"/>
      <c r="CQ109" s="14"/>
      <c r="CR109" s="14"/>
      <c r="CS109" s="19"/>
      <c r="CT109" s="96"/>
      <c r="CU109" s="94"/>
      <c r="CV109" s="94"/>
      <c r="CW109" s="14"/>
      <c r="CX109" s="14"/>
      <c r="CY109" s="14"/>
      <c r="CZ109" s="14"/>
      <c r="DA109" s="19"/>
      <c r="DB109" s="96"/>
      <c r="DC109" s="94"/>
      <c r="DD109" s="94"/>
      <c r="DE109" s="14"/>
      <c r="DF109" s="14"/>
      <c r="DG109" s="14"/>
      <c r="DH109" s="14"/>
      <c r="DI109" s="19"/>
      <c r="DJ109" s="96"/>
      <c r="DK109" s="94"/>
      <c r="DL109" s="94"/>
      <c r="DM109" s="14"/>
      <c r="DN109" s="14"/>
      <c r="DO109" s="14"/>
      <c r="DP109" s="14"/>
      <c r="DQ109" s="19"/>
      <c r="DR109" s="96"/>
      <c r="DS109" s="94"/>
      <c r="DT109" s="94"/>
      <c r="DU109" s="14"/>
      <c r="DV109" s="14"/>
      <c r="DW109" s="14"/>
      <c r="DX109" s="14"/>
      <c r="DY109" s="19"/>
      <c r="DZ109" s="96"/>
      <c r="EA109" s="94"/>
      <c r="EB109" s="94"/>
      <c r="EC109" s="14"/>
      <c r="ED109" s="14"/>
      <c r="EE109" s="14"/>
      <c r="EF109" s="14"/>
      <c r="EG109" s="19"/>
      <c r="EH109" s="96"/>
      <c r="EI109" s="94"/>
      <c r="EJ109" s="94"/>
      <c r="EK109" s="14"/>
      <c r="EL109" s="14"/>
      <c r="EM109" s="14"/>
      <c r="EN109" s="14"/>
      <c r="EO109" s="19"/>
      <c r="EP109" s="96"/>
      <c r="EQ109" s="94"/>
      <c r="ER109" s="94"/>
      <c r="ES109" s="14"/>
      <c r="ET109" s="14"/>
      <c r="EU109" s="14"/>
      <c r="EV109" s="14"/>
      <c r="EW109" s="19"/>
      <c r="EX109" s="96"/>
      <c r="EY109" s="94"/>
      <c r="EZ109" s="94"/>
      <c r="FA109" s="14"/>
      <c r="FB109" s="14"/>
      <c r="FC109" s="14"/>
      <c r="FD109" s="14"/>
      <c r="FE109" s="19"/>
      <c r="FF109" s="96"/>
      <c r="FG109" s="94"/>
      <c r="FH109" s="94"/>
      <c r="FI109" s="14"/>
      <c r="FJ109" s="14"/>
      <c r="FK109" s="14"/>
      <c r="FL109" s="14"/>
      <c r="FM109" s="19"/>
      <c r="FN109" s="96"/>
      <c r="FO109" s="94"/>
      <c r="FP109" s="94"/>
      <c r="FQ109" s="14"/>
      <c r="FR109" s="14"/>
      <c r="FS109" s="14"/>
      <c r="FT109" s="14"/>
      <c r="FU109" s="19"/>
      <c r="FV109" s="96"/>
      <c r="FW109" s="94"/>
      <c r="FX109" s="94"/>
      <c r="FY109" s="14"/>
      <c r="FZ109" s="14"/>
      <c r="GA109" s="14"/>
      <c r="GB109" s="14"/>
      <c r="GC109" s="19"/>
      <c r="GD109" s="96"/>
      <c r="GE109" s="94"/>
      <c r="GF109" s="94"/>
      <c r="GG109" s="14"/>
      <c r="GH109" s="14"/>
      <c r="GI109" s="14"/>
      <c r="GJ109" s="14"/>
      <c r="GK109" s="19"/>
      <c r="GL109" s="96"/>
      <c r="GM109" s="94"/>
      <c r="GN109" s="94"/>
      <c r="GO109" s="14"/>
      <c r="GP109" s="14"/>
      <c r="GQ109" s="14"/>
      <c r="GR109" s="14"/>
      <c r="GS109" s="19"/>
      <c r="GT109" s="96"/>
      <c r="GU109" s="94"/>
      <c r="GV109" s="94"/>
      <c r="GW109" s="14"/>
      <c r="GX109" s="14"/>
      <c r="GY109" s="14"/>
      <c r="GZ109" s="14"/>
      <c r="HA109" s="19"/>
      <c r="HB109" s="96"/>
      <c r="HC109" s="94"/>
      <c r="HD109" s="94"/>
      <c r="HE109" s="14"/>
      <c r="HF109" s="14"/>
      <c r="HG109" s="14"/>
      <c r="HH109" s="14"/>
      <c r="HI109" s="19"/>
      <c r="HJ109" s="96"/>
      <c r="HK109" s="94"/>
      <c r="HL109" s="94"/>
      <c r="HM109" s="14"/>
      <c r="HN109" s="14"/>
      <c r="HO109" s="14"/>
      <c r="HP109" s="14"/>
      <c r="HQ109" s="19"/>
      <c r="HR109" s="96"/>
      <c r="HS109" s="94"/>
      <c r="HT109" s="94"/>
      <c r="HU109" s="14"/>
      <c r="HV109" s="14"/>
      <c r="HW109" s="14"/>
      <c r="HX109" s="14"/>
      <c r="HY109" s="19"/>
      <c r="HZ109" s="96"/>
      <c r="IA109" s="94"/>
      <c r="IB109" s="94"/>
      <c r="IC109" s="14"/>
      <c r="ID109" s="14"/>
      <c r="IE109" s="14"/>
      <c r="IF109" s="14"/>
      <c r="IG109" s="19"/>
      <c r="IH109" s="96"/>
      <c r="II109" s="94"/>
      <c r="IJ109" s="94"/>
      <c r="IK109" s="14"/>
      <c r="IL109" s="14"/>
      <c r="IM109" s="14"/>
      <c r="IN109" s="14"/>
    </row>
    <row r="110" spans="1:248" s="13" customFormat="1" ht="12.75">
      <c r="A110" s="49"/>
      <c r="B110" s="83" t="s">
        <v>318</v>
      </c>
      <c r="C110" s="103" t="s">
        <v>264</v>
      </c>
      <c r="D110" s="33">
        <v>150</v>
      </c>
      <c r="E110" s="64">
        <v>1</v>
      </c>
      <c r="F110" s="64">
        <v>1</v>
      </c>
      <c r="G110" s="33">
        <v>150</v>
      </c>
      <c r="H110" s="104">
        <f t="shared" si="3"/>
        <v>4013.8899316810653</v>
      </c>
      <c r="I110" s="35"/>
      <c r="J110" s="6"/>
      <c r="K110" s="6"/>
      <c r="L110" s="94"/>
      <c r="M110" s="14"/>
      <c r="N110" s="14"/>
      <c r="O110" s="14"/>
      <c r="P110" s="14"/>
      <c r="Q110" s="19"/>
      <c r="R110" s="96"/>
      <c r="S110" s="94"/>
      <c r="T110" s="94"/>
      <c r="U110" s="14"/>
      <c r="V110" s="14"/>
      <c r="W110" s="14"/>
      <c r="X110" s="14"/>
      <c r="Y110" s="19"/>
      <c r="Z110" s="96"/>
      <c r="AA110" s="94"/>
      <c r="AB110" s="94"/>
      <c r="AC110" s="14"/>
      <c r="AD110" s="14"/>
      <c r="AE110" s="14"/>
      <c r="AF110" s="14"/>
      <c r="AG110" s="19"/>
      <c r="AH110" s="96"/>
      <c r="AI110" s="94"/>
      <c r="AJ110" s="94"/>
      <c r="AK110" s="14"/>
      <c r="AL110" s="14"/>
      <c r="AM110" s="14"/>
      <c r="AN110" s="14"/>
      <c r="AO110" s="19"/>
      <c r="AP110" s="96"/>
      <c r="AQ110" s="94"/>
      <c r="AR110" s="94"/>
      <c r="AS110" s="14"/>
      <c r="AT110" s="14"/>
      <c r="AU110" s="14"/>
      <c r="AV110" s="14"/>
      <c r="AW110" s="19"/>
      <c r="AX110" s="96"/>
      <c r="AY110" s="94"/>
      <c r="AZ110" s="94"/>
      <c r="BA110" s="14"/>
      <c r="BB110" s="14"/>
      <c r="BC110" s="14"/>
      <c r="BD110" s="14"/>
      <c r="BE110" s="19"/>
      <c r="BF110" s="96"/>
      <c r="BG110" s="94"/>
      <c r="BH110" s="94"/>
      <c r="BI110" s="14"/>
      <c r="BJ110" s="14"/>
      <c r="BK110" s="14"/>
      <c r="BL110" s="14"/>
      <c r="BM110" s="19"/>
      <c r="BN110" s="96"/>
      <c r="BO110" s="94"/>
      <c r="BP110" s="94"/>
      <c r="BQ110" s="14"/>
      <c r="BR110" s="14"/>
      <c r="BS110" s="14"/>
      <c r="BT110" s="14"/>
      <c r="BU110" s="19"/>
      <c r="BV110" s="96"/>
      <c r="BW110" s="94"/>
      <c r="BX110" s="94"/>
      <c r="BY110" s="14"/>
      <c r="BZ110" s="14"/>
      <c r="CA110" s="14"/>
      <c r="CB110" s="14"/>
      <c r="CC110" s="19"/>
      <c r="CD110" s="96"/>
      <c r="CE110" s="94"/>
      <c r="CF110" s="94"/>
      <c r="CG110" s="14"/>
      <c r="CH110" s="14"/>
      <c r="CI110" s="14"/>
      <c r="CJ110" s="14"/>
      <c r="CK110" s="19"/>
      <c r="CL110" s="96"/>
      <c r="CM110" s="94"/>
      <c r="CN110" s="94"/>
      <c r="CO110" s="14"/>
      <c r="CP110" s="14"/>
      <c r="CQ110" s="14"/>
      <c r="CR110" s="14"/>
      <c r="CS110" s="19"/>
      <c r="CT110" s="96"/>
      <c r="CU110" s="94"/>
      <c r="CV110" s="94"/>
      <c r="CW110" s="14"/>
      <c r="CX110" s="14"/>
      <c r="CY110" s="14"/>
      <c r="CZ110" s="14"/>
      <c r="DA110" s="19"/>
      <c r="DB110" s="96"/>
      <c r="DC110" s="94"/>
      <c r="DD110" s="94"/>
      <c r="DE110" s="14"/>
      <c r="DF110" s="14"/>
      <c r="DG110" s="14"/>
      <c r="DH110" s="14"/>
      <c r="DI110" s="19"/>
      <c r="DJ110" s="96"/>
      <c r="DK110" s="94"/>
      <c r="DL110" s="94"/>
      <c r="DM110" s="14"/>
      <c r="DN110" s="14"/>
      <c r="DO110" s="14"/>
      <c r="DP110" s="14"/>
      <c r="DQ110" s="19"/>
      <c r="DR110" s="96"/>
      <c r="DS110" s="94"/>
      <c r="DT110" s="94"/>
      <c r="DU110" s="14"/>
      <c r="DV110" s="14"/>
      <c r="DW110" s="14"/>
      <c r="DX110" s="14"/>
      <c r="DY110" s="19"/>
      <c r="DZ110" s="96"/>
      <c r="EA110" s="94"/>
      <c r="EB110" s="94"/>
      <c r="EC110" s="14"/>
      <c r="ED110" s="14"/>
      <c r="EE110" s="14"/>
      <c r="EF110" s="14"/>
      <c r="EG110" s="19"/>
      <c r="EH110" s="96"/>
      <c r="EI110" s="94"/>
      <c r="EJ110" s="94"/>
      <c r="EK110" s="14"/>
      <c r="EL110" s="14"/>
      <c r="EM110" s="14"/>
      <c r="EN110" s="14"/>
      <c r="EO110" s="19"/>
      <c r="EP110" s="96"/>
      <c r="EQ110" s="94"/>
      <c r="ER110" s="94"/>
      <c r="ES110" s="14"/>
      <c r="ET110" s="14"/>
      <c r="EU110" s="14"/>
      <c r="EV110" s="14"/>
      <c r="EW110" s="19"/>
      <c r="EX110" s="96"/>
      <c r="EY110" s="94"/>
      <c r="EZ110" s="94"/>
      <c r="FA110" s="14"/>
      <c r="FB110" s="14"/>
      <c r="FC110" s="14"/>
      <c r="FD110" s="14"/>
      <c r="FE110" s="19"/>
      <c r="FF110" s="96"/>
      <c r="FG110" s="94"/>
      <c r="FH110" s="94"/>
      <c r="FI110" s="14"/>
      <c r="FJ110" s="14"/>
      <c r="FK110" s="14"/>
      <c r="FL110" s="14"/>
      <c r="FM110" s="19"/>
      <c r="FN110" s="96"/>
      <c r="FO110" s="94"/>
      <c r="FP110" s="94"/>
      <c r="FQ110" s="14"/>
      <c r="FR110" s="14"/>
      <c r="FS110" s="14"/>
      <c r="FT110" s="14"/>
      <c r="FU110" s="19"/>
      <c r="FV110" s="96"/>
      <c r="FW110" s="94"/>
      <c r="FX110" s="94"/>
      <c r="FY110" s="14"/>
      <c r="FZ110" s="14"/>
      <c r="GA110" s="14"/>
      <c r="GB110" s="14"/>
      <c r="GC110" s="19"/>
      <c r="GD110" s="96"/>
      <c r="GE110" s="94"/>
      <c r="GF110" s="94"/>
      <c r="GG110" s="14"/>
      <c r="GH110" s="14"/>
      <c r="GI110" s="14"/>
      <c r="GJ110" s="14"/>
      <c r="GK110" s="19"/>
      <c r="GL110" s="96"/>
      <c r="GM110" s="94"/>
      <c r="GN110" s="94"/>
      <c r="GO110" s="14"/>
      <c r="GP110" s="14"/>
      <c r="GQ110" s="14"/>
      <c r="GR110" s="14"/>
      <c r="GS110" s="19"/>
      <c r="GT110" s="96"/>
      <c r="GU110" s="94"/>
      <c r="GV110" s="94"/>
      <c r="GW110" s="14"/>
      <c r="GX110" s="14"/>
      <c r="GY110" s="14"/>
      <c r="GZ110" s="14"/>
      <c r="HA110" s="19"/>
      <c r="HB110" s="96"/>
      <c r="HC110" s="94"/>
      <c r="HD110" s="94"/>
      <c r="HE110" s="14"/>
      <c r="HF110" s="14"/>
      <c r="HG110" s="14"/>
      <c r="HH110" s="14"/>
      <c r="HI110" s="19"/>
      <c r="HJ110" s="96"/>
      <c r="HK110" s="94"/>
      <c r="HL110" s="94"/>
      <c r="HM110" s="14"/>
      <c r="HN110" s="14"/>
      <c r="HO110" s="14"/>
      <c r="HP110" s="14"/>
      <c r="HQ110" s="19"/>
      <c r="HR110" s="96"/>
      <c r="HS110" s="94"/>
      <c r="HT110" s="94"/>
      <c r="HU110" s="14"/>
      <c r="HV110" s="14"/>
      <c r="HW110" s="14"/>
      <c r="HX110" s="14"/>
      <c r="HY110" s="19"/>
      <c r="HZ110" s="96"/>
      <c r="IA110" s="94"/>
      <c r="IB110" s="94"/>
      <c r="IC110" s="14"/>
      <c r="ID110" s="14"/>
      <c r="IE110" s="14"/>
      <c r="IF110" s="14"/>
      <c r="IG110" s="19"/>
      <c r="IH110" s="96"/>
      <c r="II110" s="94"/>
      <c r="IJ110" s="94"/>
      <c r="IK110" s="14"/>
      <c r="IL110" s="14"/>
      <c r="IM110" s="14"/>
      <c r="IN110" s="14"/>
    </row>
    <row r="111" spans="1:248" s="13" customFormat="1" ht="12.75">
      <c r="A111" s="49"/>
      <c r="B111" s="83" t="s">
        <v>258</v>
      </c>
      <c r="C111" s="103" t="s">
        <v>264</v>
      </c>
      <c r="D111" s="33">
        <v>80</v>
      </c>
      <c r="E111" s="64">
        <v>1</v>
      </c>
      <c r="F111" s="64">
        <v>1</v>
      </c>
      <c r="G111" s="33">
        <v>80</v>
      </c>
      <c r="H111" s="104">
        <f t="shared" si="3"/>
        <v>2140.741296896568</v>
      </c>
      <c r="I111" s="35"/>
      <c r="J111" s="6"/>
      <c r="K111" s="6"/>
      <c r="L111" s="94"/>
      <c r="M111" s="14"/>
      <c r="N111" s="14"/>
      <c r="O111" s="14"/>
      <c r="P111" s="14"/>
      <c r="Q111" s="19"/>
      <c r="R111" s="96"/>
      <c r="S111" s="94"/>
      <c r="T111" s="94"/>
      <c r="U111" s="14"/>
      <c r="V111" s="14"/>
      <c r="W111" s="14"/>
      <c r="X111" s="14"/>
      <c r="Y111" s="19"/>
      <c r="Z111" s="96"/>
      <c r="AA111" s="94"/>
      <c r="AB111" s="94"/>
      <c r="AC111" s="14"/>
      <c r="AD111" s="14"/>
      <c r="AE111" s="14"/>
      <c r="AF111" s="14"/>
      <c r="AG111" s="19"/>
      <c r="AH111" s="96"/>
      <c r="AI111" s="94"/>
      <c r="AJ111" s="94"/>
      <c r="AK111" s="14"/>
      <c r="AL111" s="14"/>
      <c r="AM111" s="14"/>
      <c r="AN111" s="14"/>
      <c r="AO111" s="19"/>
      <c r="AP111" s="96"/>
      <c r="AQ111" s="94"/>
      <c r="AR111" s="94"/>
      <c r="AS111" s="14"/>
      <c r="AT111" s="14"/>
      <c r="AU111" s="14"/>
      <c r="AV111" s="14"/>
      <c r="AW111" s="19"/>
      <c r="AX111" s="96"/>
      <c r="AY111" s="94"/>
      <c r="AZ111" s="94"/>
      <c r="BA111" s="14"/>
      <c r="BB111" s="14"/>
      <c r="BC111" s="14"/>
      <c r="BD111" s="14"/>
      <c r="BE111" s="19"/>
      <c r="BF111" s="96"/>
      <c r="BG111" s="94"/>
      <c r="BH111" s="94"/>
      <c r="BI111" s="14"/>
      <c r="BJ111" s="14"/>
      <c r="BK111" s="14"/>
      <c r="BL111" s="14"/>
      <c r="BM111" s="19"/>
      <c r="BN111" s="96"/>
      <c r="BO111" s="94"/>
      <c r="BP111" s="94"/>
      <c r="BQ111" s="14"/>
      <c r="BR111" s="14"/>
      <c r="BS111" s="14"/>
      <c r="BT111" s="14"/>
      <c r="BU111" s="19"/>
      <c r="BV111" s="96"/>
      <c r="BW111" s="94"/>
      <c r="BX111" s="94"/>
      <c r="BY111" s="14"/>
      <c r="BZ111" s="14"/>
      <c r="CA111" s="14"/>
      <c r="CB111" s="14"/>
      <c r="CC111" s="19"/>
      <c r="CD111" s="96"/>
      <c r="CE111" s="94"/>
      <c r="CF111" s="94"/>
      <c r="CG111" s="14"/>
      <c r="CH111" s="14"/>
      <c r="CI111" s="14"/>
      <c r="CJ111" s="14"/>
      <c r="CK111" s="19"/>
      <c r="CL111" s="96"/>
      <c r="CM111" s="94"/>
      <c r="CN111" s="94"/>
      <c r="CO111" s="14"/>
      <c r="CP111" s="14"/>
      <c r="CQ111" s="14"/>
      <c r="CR111" s="14"/>
      <c r="CS111" s="19"/>
      <c r="CT111" s="96"/>
      <c r="CU111" s="94"/>
      <c r="CV111" s="94"/>
      <c r="CW111" s="14"/>
      <c r="CX111" s="14"/>
      <c r="CY111" s="14"/>
      <c r="CZ111" s="14"/>
      <c r="DA111" s="19"/>
      <c r="DB111" s="96"/>
      <c r="DC111" s="94"/>
      <c r="DD111" s="94"/>
      <c r="DE111" s="14"/>
      <c r="DF111" s="14"/>
      <c r="DG111" s="14"/>
      <c r="DH111" s="14"/>
      <c r="DI111" s="19"/>
      <c r="DJ111" s="96"/>
      <c r="DK111" s="94"/>
      <c r="DL111" s="94"/>
      <c r="DM111" s="14"/>
      <c r="DN111" s="14"/>
      <c r="DO111" s="14"/>
      <c r="DP111" s="14"/>
      <c r="DQ111" s="19"/>
      <c r="DR111" s="96"/>
      <c r="DS111" s="94"/>
      <c r="DT111" s="94"/>
      <c r="DU111" s="14"/>
      <c r="DV111" s="14"/>
      <c r="DW111" s="14"/>
      <c r="DX111" s="14"/>
      <c r="DY111" s="19"/>
      <c r="DZ111" s="96"/>
      <c r="EA111" s="94"/>
      <c r="EB111" s="94"/>
      <c r="EC111" s="14"/>
      <c r="ED111" s="14"/>
      <c r="EE111" s="14"/>
      <c r="EF111" s="14"/>
      <c r="EG111" s="19"/>
      <c r="EH111" s="96"/>
      <c r="EI111" s="94"/>
      <c r="EJ111" s="94"/>
      <c r="EK111" s="14"/>
      <c r="EL111" s="14"/>
      <c r="EM111" s="14"/>
      <c r="EN111" s="14"/>
      <c r="EO111" s="19"/>
      <c r="EP111" s="96"/>
      <c r="EQ111" s="94"/>
      <c r="ER111" s="94"/>
      <c r="ES111" s="14"/>
      <c r="ET111" s="14"/>
      <c r="EU111" s="14"/>
      <c r="EV111" s="14"/>
      <c r="EW111" s="19"/>
      <c r="EX111" s="96"/>
      <c r="EY111" s="94"/>
      <c r="EZ111" s="94"/>
      <c r="FA111" s="14"/>
      <c r="FB111" s="14"/>
      <c r="FC111" s="14"/>
      <c r="FD111" s="14"/>
      <c r="FE111" s="19"/>
      <c r="FF111" s="96"/>
      <c r="FG111" s="94"/>
      <c r="FH111" s="94"/>
      <c r="FI111" s="14"/>
      <c r="FJ111" s="14"/>
      <c r="FK111" s="14"/>
      <c r="FL111" s="14"/>
      <c r="FM111" s="19"/>
      <c r="FN111" s="96"/>
      <c r="FO111" s="94"/>
      <c r="FP111" s="94"/>
      <c r="FQ111" s="14"/>
      <c r="FR111" s="14"/>
      <c r="FS111" s="14"/>
      <c r="FT111" s="14"/>
      <c r="FU111" s="19"/>
      <c r="FV111" s="96"/>
      <c r="FW111" s="94"/>
      <c r="FX111" s="94"/>
      <c r="FY111" s="14"/>
      <c r="FZ111" s="14"/>
      <c r="GA111" s="14"/>
      <c r="GB111" s="14"/>
      <c r="GC111" s="19"/>
      <c r="GD111" s="96"/>
      <c r="GE111" s="94"/>
      <c r="GF111" s="94"/>
      <c r="GG111" s="14"/>
      <c r="GH111" s="14"/>
      <c r="GI111" s="14"/>
      <c r="GJ111" s="14"/>
      <c r="GK111" s="19"/>
      <c r="GL111" s="96"/>
      <c r="GM111" s="94"/>
      <c r="GN111" s="94"/>
      <c r="GO111" s="14"/>
      <c r="GP111" s="14"/>
      <c r="GQ111" s="14"/>
      <c r="GR111" s="14"/>
      <c r="GS111" s="19"/>
      <c r="GT111" s="96"/>
      <c r="GU111" s="94"/>
      <c r="GV111" s="94"/>
      <c r="GW111" s="14"/>
      <c r="GX111" s="14"/>
      <c r="GY111" s="14"/>
      <c r="GZ111" s="14"/>
      <c r="HA111" s="19"/>
      <c r="HB111" s="96"/>
      <c r="HC111" s="94"/>
      <c r="HD111" s="94"/>
      <c r="HE111" s="14"/>
      <c r="HF111" s="14"/>
      <c r="HG111" s="14"/>
      <c r="HH111" s="14"/>
      <c r="HI111" s="19"/>
      <c r="HJ111" s="96"/>
      <c r="HK111" s="94"/>
      <c r="HL111" s="94"/>
      <c r="HM111" s="14"/>
      <c r="HN111" s="14"/>
      <c r="HO111" s="14"/>
      <c r="HP111" s="14"/>
      <c r="HQ111" s="19"/>
      <c r="HR111" s="96"/>
      <c r="HS111" s="94"/>
      <c r="HT111" s="94"/>
      <c r="HU111" s="14"/>
      <c r="HV111" s="14"/>
      <c r="HW111" s="14"/>
      <c r="HX111" s="14"/>
      <c r="HY111" s="19"/>
      <c r="HZ111" s="96"/>
      <c r="IA111" s="94"/>
      <c r="IB111" s="94"/>
      <c r="IC111" s="14"/>
      <c r="ID111" s="14"/>
      <c r="IE111" s="14"/>
      <c r="IF111" s="14"/>
      <c r="IG111" s="19"/>
      <c r="IH111" s="96"/>
      <c r="II111" s="94"/>
      <c r="IJ111" s="94"/>
      <c r="IK111" s="14"/>
      <c r="IL111" s="14"/>
      <c r="IM111" s="14"/>
      <c r="IN111" s="14"/>
    </row>
    <row r="112" spans="1:248" s="13" customFormat="1" ht="12.75">
      <c r="A112" s="49"/>
      <c r="B112" s="83" t="s">
        <v>321</v>
      </c>
      <c r="C112" s="103" t="s">
        <v>264</v>
      </c>
      <c r="D112" s="33">
        <v>70</v>
      </c>
      <c r="E112" s="64"/>
      <c r="F112" s="64"/>
      <c r="G112" s="33">
        <v>70</v>
      </c>
      <c r="H112" s="104">
        <f t="shared" si="3"/>
        <v>1873.148634784497</v>
      </c>
      <c r="I112" s="35"/>
      <c r="J112" s="6"/>
      <c r="K112" s="6"/>
      <c r="L112" s="94"/>
      <c r="M112" s="14"/>
      <c r="N112" s="14"/>
      <c r="O112" s="14"/>
      <c r="P112" s="14"/>
      <c r="Q112" s="19"/>
      <c r="R112" s="96"/>
      <c r="S112" s="94"/>
      <c r="T112" s="94"/>
      <c r="U112" s="14"/>
      <c r="V112" s="14"/>
      <c r="W112" s="14"/>
      <c r="X112" s="14"/>
      <c r="Y112" s="19"/>
      <c r="Z112" s="96"/>
      <c r="AA112" s="94"/>
      <c r="AB112" s="94"/>
      <c r="AC112" s="14"/>
      <c r="AD112" s="14"/>
      <c r="AE112" s="14"/>
      <c r="AF112" s="14"/>
      <c r="AG112" s="19"/>
      <c r="AH112" s="96"/>
      <c r="AI112" s="94"/>
      <c r="AJ112" s="94"/>
      <c r="AK112" s="14"/>
      <c r="AL112" s="14"/>
      <c r="AM112" s="14"/>
      <c r="AN112" s="14"/>
      <c r="AO112" s="19"/>
      <c r="AP112" s="96"/>
      <c r="AQ112" s="94"/>
      <c r="AR112" s="94"/>
      <c r="AS112" s="14"/>
      <c r="AT112" s="14"/>
      <c r="AU112" s="14"/>
      <c r="AV112" s="14"/>
      <c r="AW112" s="19"/>
      <c r="AX112" s="96"/>
      <c r="AY112" s="94"/>
      <c r="AZ112" s="94"/>
      <c r="BA112" s="14"/>
      <c r="BB112" s="14"/>
      <c r="BC112" s="14"/>
      <c r="BD112" s="14"/>
      <c r="BE112" s="19"/>
      <c r="BF112" s="96"/>
      <c r="BG112" s="94"/>
      <c r="BH112" s="94"/>
      <c r="BI112" s="14"/>
      <c r="BJ112" s="14"/>
      <c r="BK112" s="14"/>
      <c r="BL112" s="14"/>
      <c r="BM112" s="19"/>
      <c r="BN112" s="96"/>
      <c r="BO112" s="94"/>
      <c r="BP112" s="94"/>
      <c r="BQ112" s="14"/>
      <c r="BR112" s="14"/>
      <c r="BS112" s="14"/>
      <c r="BT112" s="14"/>
      <c r="BU112" s="19"/>
      <c r="BV112" s="96"/>
      <c r="BW112" s="94"/>
      <c r="BX112" s="94"/>
      <c r="BY112" s="14"/>
      <c r="BZ112" s="14"/>
      <c r="CA112" s="14"/>
      <c r="CB112" s="14"/>
      <c r="CC112" s="19"/>
      <c r="CD112" s="96"/>
      <c r="CE112" s="94"/>
      <c r="CF112" s="94"/>
      <c r="CG112" s="14"/>
      <c r="CH112" s="14"/>
      <c r="CI112" s="14"/>
      <c r="CJ112" s="14"/>
      <c r="CK112" s="19"/>
      <c r="CL112" s="96"/>
      <c r="CM112" s="94"/>
      <c r="CN112" s="94"/>
      <c r="CO112" s="14"/>
      <c r="CP112" s="14"/>
      <c r="CQ112" s="14"/>
      <c r="CR112" s="14"/>
      <c r="CS112" s="19"/>
      <c r="CT112" s="96"/>
      <c r="CU112" s="94"/>
      <c r="CV112" s="94"/>
      <c r="CW112" s="14"/>
      <c r="CX112" s="14"/>
      <c r="CY112" s="14"/>
      <c r="CZ112" s="14"/>
      <c r="DA112" s="19"/>
      <c r="DB112" s="96"/>
      <c r="DC112" s="94"/>
      <c r="DD112" s="94"/>
      <c r="DE112" s="14"/>
      <c r="DF112" s="14"/>
      <c r="DG112" s="14"/>
      <c r="DH112" s="14"/>
      <c r="DI112" s="19"/>
      <c r="DJ112" s="96"/>
      <c r="DK112" s="94"/>
      <c r="DL112" s="94"/>
      <c r="DM112" s="14"/>
      <c r="DN112" s="14"/>
      <c r="DO112" s="14"/>
      <c r="DP112" s="14"/>
      <c r="DQ112" s="19"/>
      <c r="DR112" s="96"/>
      <c r="DS112" s="94"/>
      <c r="DT112" s="94"/>
      <c r="DU112" s="14"/>
      <c r="DV112" s="14"/>
      <c r="DW112" s="14"/>
      <c r="DX112" s="14"/>
      <c r="DY112" s="19"/>
      <c r="DZ112" s="96"/>
      <c r="EA112" s="94"/>
      <c r="EB112" s="94"/>
      <c r="EC112" s="14"/>
      <c r="ED112" s="14"/>
      <c r="EE112" s="14"/>
      <c r="EF112" s="14"/>
      <c r="EG112" s="19"/>
      <c r="EH112" s="96"/>
      <c r="EI112" s="94"/>
      <c r="EJ112" s="94"/>
      <c r="EK112" s="14"/>
      <c r="EL112" s="14"/>
      <c r="EM112" s="14"/>
      <c r="EN112" s="14"/>
      <c r="EO112" s="19"/>
      <c r="EP112" s="96"/>
      <c r="EQ112" s="94"/>
      <c r="ER112" s="94"/>
      <c r="ES112" s="14"/>
      <c r="ET112" s="14"/>
      <c r="EU112" s="14"/>
      <c r="EV112" s="14"/>
      <c r="EW112" s="19"/>
      <c r="EX112" s="96"/>
      <c r="EY112" s="94"/>
      <c r="EZ112" s="94"/>
      <c r="FA112" s="14"/>
      <c r="FB112" s="14"/>
      <c r="FC112" s="14"/>
      <c r="FD112" s="14"/>
      <c r="FE112" s="19"/>
      <c r="FF112" s="96"/>
      <c r="FG112" s="94"/>
      <c r="FH112" s="94"/>
      <c r="FI112" s="14"/>
      <c r="FJ112" s="14"/>
      <c r="FK112" s="14"/>
      <c r="FL112" s="14"/>
      <c r="FM112" s="19"/>
      <c r="FN112" s="96"/>
      <c r="FO112" s="94"/>
      <c r="FP112" s="94"/>
      <c r="FQ112" s="14"/>
      <c r="FR112" s="14"/>
      <c r="FS112" s="14"/>
      <c r="FT112" s="14"/>
      <c r="FU112" s="19"/>
      <c r="FV112" s="96"/>
      <c r="FW112" s="94"/>
      <c r="FX112" s="94"/>
      <c r="FY112" s="14"/>
      <c r="FZ112" s="14"/>
      <c r="GA112" s="14"/>
      <c r="GB112" s="14"/>
      <c r="GC112" s="19"/>
      <c r="GD112" s="96"/>
      <c r="GE112" s="94"/>
      <c r="GF112" s="94"/>
      <c r="GG112" s="14"/>
      <c r="GH112" s="14"/>
      <c r="GI112" s="14"/>
      <c r="GJ112" s="14"/>
      <c r="GK112" s="19"/>
      <c r="GL112" s="96"/>
      <c r="GM112" s="94"/>
      <c r="GN112" s="94"/>
      <c r="GO112" s="14"/>
      <c r="GP112" s="14"/>
      <c r="GQ112" s="14"/>
      <c r="GR112" s="14"/>
      <c r="GS112" s="19"/>
      <c r="GT112" s="96"/>
      <c r="GU112" s="94"/>
      <c r="GV112" s="94"/>
      <c r="GW112" s="14"/>
      <c r="GX112" s="14"/>
      <c r="GY112" s="14"/>
      <c r="GZ112" s="14"/>
      <c r="HA112" s="19"/>
      <c r="HB112" s="96"/>
      <c r="HC112" s="94"/>
      <c r="HD112" s="94"/>
      <c r="HE112" s="14"/>
      <c r="HF112" s="14"/>
      <c r="HG112" s="14"/>
      <c r="HH112" s="14"/>
      <c r="HI112" s="19"/>
      <c r="HJ112" s="96"/>
      <c r="HK112" s="94"/>
      <c r="HL112" s="94"/>
      <c r="HM112" s="14"/>
      <c r="HN112" s="14"/>
      <c r="HO112" s="14"/>
      <c r="HP112" s="14"/>
      <c r="HQ112" s="19"/>
      <c r="HR112" s="96"/>
      <c r="HS112" s="94"/>
      <c r="HT112" s="94"/>
      <c r="HU112" s="14"/>
      <c r="HV112" s="14"/>
      <c r="HW112" s="14"/>
      <c r="HX112" s="14"/>
      <c r="HY112" s="19"/>
      <c r="HZ112" s="96"/>
      <c r="IA112" s="94"/>
      <c r="IB112" s="94"/>
      <c r="IC112" s="14"/>
      <c r="ID112" s="14"/>
      <c r="IE112" s="14"/>
      <c r="IF112" s="14"/>
      <c r="IG112" s="19"/>
      <c r="IH112" s="96"/>
      <c r="II112" s="94"/>
      <c r="IJ112" s="94"/>
      <c r="IK112" s="14"/>
      <c r="IL112" s="14"/>
      <c r="IM112" s="14"/>
      <c r="IN112" s="14"/>
    </row>
    <row r="113" spans="1:248" s="13" customFormat="1" ht="12.75">
      <c r="A113" s="49"/>
      <c r="B113" s="83" t="s">
        <v>320</v>
      </c>
      <c r="C113" s="103" t="s">
        <v>264</v>
      </c>
      <c r="D113" s="127">
        <f>32+180</f>
        <v>212</v>
      </c>
      <c r="E113" s="64">
        <v>1</v>
      </c>
      <c r="F113" s="64">
        <v>1</v>
      </c>
      <c r="G113" s="127">
        <f>32+180</f>
        <v>212</v>
      </c>
      <c r="H113" s="104">
        <f t="shared" si="3"/>
        <v>5672.964436775906</v>
      </c>
      <c r="I113" s="35"/>
      <c r="J113" s="6"/>
      <c r="K113" s="6"/>
      <c r="L113" s="94"/>
      <c r="M113" s="14"/>
      <c r="N113" s="14"/>
      <c r="O113" s="14"/>
      <c r="P113" s="14"/>
      <c r="Q113" s="19"/>
      <c r="R113" s="96"/>
      <c r="S113" s="94"/>
      <c r="T113" s="94"/>
      <c r="U113" s="14"/>
      <c r="V113" s="14"/>
      <c r="W113" s="14"/>
      <c r="X113" s="14"/>
      <c r="Y113" s="19"/>
      <c r="Z113" s="96"/>
      <c r="AA113" s="94"/>
      <c r="AB113" s="94"/>
      <c r="AC113" s="14"/>
      <c r="AD113" s="14"/>
      <c r="AE113" s="14"/>
      <c r="AF113" s="14"/>
      <c r="AG113" s="19"/>
      <c r="AH113" s="96"/>
      <c r="AI113" s="94"/>
      <c r="AJ113" s="94"/>
      <c r="AK113" s="14"/>
      <c r="AL113" s="14"/>
      <c r="AM113" s="14"/>
      <c r="AN113" s="14"/>
      <c r="AO113" s="19"/>
      <c r="AP113" s="96"/>
      <c r="AQ113" s="94"/>
      <c r="AR113" s="94"/>
      <c r="AS113" s="14"/>
      <c r="AT113" s="14"/>
      <c r="AU113" s="14"/>
      <c r="AV113" s="14"/>
      <c r="AW113" s="19"/>
      <c r="AX113" s="96"/>
      <c r="AY113" s="94"/>
      <c r="AZ113" s="94"/>
      <c r="BA113" s="14"/>
      <c r="BB113" s="14"/>
      <c r="BC113" s="14"/>
      <c r="BD113" s="14"/>
      <c r="BE113" s="19"/>
      <c r="BF113" s="96"/>
      <c r="BG113" s="94"/>
      <c r="BH113" s="94"/>
      <c r="BI113" s="14"/>
      <c r="BJ113" s="14"/>
      <c r="BK113" s="14"/>
      <c r="BL113" s="14"/>
      <c r="BM113" s="19"/>
      <c r="BN113" s="96"/>
      <c r="BO113" s="94"/>
      <c r="BP113" s="94"/>
      <c r="BQ113" s="14"/>
      <c r="BR113" s="14"/>
      <c r="BS113" s="14"/>
      <c r="BT113" s="14"/>
      <c r="BU113" s="19"/>
      <c r="BV113" s="96"/>
      <c r="BW113" s="94"/>
      <c r="BX113" s="94"/>
      <c r="BY113" s="14"/>
      <c r="BZ113" s="14"/>
      <c r="CA113" s="14"/>
      <c r="CB113" s="14"/>
      <c r="CC113" s="19"/>
      <c r="CD113" s="96"/>
      <c r="CE113" s="94"/>
      <c r="CF113" s="94"/>
      <c r="CG113" s="14"/>
      <c r="CH113" s="14"/>
      <c r="CI113" s="14"/>
      <c r="CJ113" s="14"/>
      <c r="CK113" s="19"/>
      <c r="CL113" s="96"/>
      <c r="CM113" s="94"/>
      <c r="CN113" s="94"/>
      <c r="CO113" s="14"/>
      <c r="CP113" s="14"/>
      <c r="CQ113" s="14"/>
      <c r="CR113" s="14"/>
      <c r="CS113" s="19"/>
      <c r="CT113" s="96"/>
      <c r="CU113" s="94"/>
      <c r="CV113" s="94"/>
      <c r="CW113" s="14"/>
      <c r="CX113" s="14"/>
      <c r="CY113" s="14"/>
      <c r="CZ113" s="14"/>
      <c r="DA113" s="19"/>
      <c r="DB113" s="96"/>
      <c r="DC113" s="94"/>
      <c r="DD113" s="94"/>
      <c r="DE113" s="14"/>
      <c r="DF113" s="14"/>
      <c r="DG113" s="14"/>
      <c r="DH113" s="14"/>
      <c r="DI113" s="19"/>
      <c r="DJ113" s="96"/>
      <c r="DK113" s="94"/>
      <c r="DL113" s="94"/>
      <c r="DM113" s="14"/>
      <c r="DN113" s="14"/>
      <c r="DO113" s="14"/>
      <c r="DP113" s="14"/>
      <c r="DQ113" s="19"/>
      <c r="DR113" s="96"/>
      <c r="DS113" s="94"/>
      <c r="DT113" s="94"/>
      <c r="DU113" s="14"/>
      <c r="DV113" s="14"/>
      <c r="DW113" s="14"/>
      <c r="DX113" s="14"/>
      <c r="DY113" s="19"/>
      <c r="DZ113" s="96"/>
      <c r="EA113" s="94"/>
      <c r="EB113" s="94"/>
      <c r="EC113" s="14"/>
      <c r="ED113" s="14"/>
      <c r="EE113" s="14"/>
      <c r="EF113" s="14"/>
      <c r="EG113" s="19"/>
      <c r="EH113" s="96"/>
      <c r="EI113" s="94"/>
      <c r="EJ113" s="94"/>
      <c r="EK113" s="14"/>
      <c r="EL113" s="14"/>
      <c r="EM113" s="14"/>
      <c r="EN113" s="14"/>
      <c r="EO113" s="19"/>
      <c r="EP113" s="96"/>
      <c r="EQ113" s="94"/>
      <c r="ER113" s="94"/>
      <c r="ES113" s="14"/>
      <c r="ET113" s="14"/>
      <c r="EU113" s="14"/>
      <c r="EV113" s="14"/>
      <c r="EW113" s="19"/>
      <c r="EX113" s="96"/>
      <c r="EY113" s="94"/>
      <c r="EZ113" s="94"/>
      <c r="FA113" s="14"/>
      <c r="FB113" s="14"/>
      <c r="FC113" s="14"/>
      <c r="FD113" s="14"/>
      <c r="FE113" s="19"/>
      <c r="FF113" s="96"/>
      <c r="FG113" s="94"/>
      <c r="FH113" s="94"/>
      <c r="FI113" s="14"/>
      <c r="FJ113" s="14"/>
      <c r="FK113" s="14"/>
      <c r="FL113" s="14"/>
      <c r="FM113" s="19"/>
      <c r="FN113" s="96"/>
      <c r="FO113" s="94"/>
      <c r="FP113" s="94"/>
      <c r="FQ113" s="14"/>
      <c r="FR113" s="14"/>
      <c r="FS113" s="14"/>
      <c r="FT113" s="14"/>
      <c r="FU113" s="19"/>
      <c r="FV113" s="96"/>
      <c r="FW113" s="94"/>
      <c r="FX113" s="94"/>
      <c r="FY113" s="14"/>
      <c r="FZ113" s="14"/>
      <c r="GA113" s="14"/>
      <c r="GB113" s="14"/>
      <c r="GC113" s="19"/>
      <c r="GD113" s="96"/>
      <c r="GE113" s="94"/>
      <c r="GF113" s="94"/>
      <c r="GG113" s="14"/>
      <c r="GH113" s="14"/>
      <c r="GI113" s="14"/>
      <c r="GJ113" s="14"/>
      <c r="GK113" s="19"/>
      <c r="GL113" s="96"/>
      <c r="GM113" s="94"/>
      <c r="GN113" s="94"/>
      <c r="GO113" s="14"/>
      <c r="GP113" s="14"/>
      <c r="GQ113" s="14"/>
      <c r="GR113" s="14"/>
      <c r="GS113" s="19"/>
      <c r="GT113" s="96"/>
      <c r="GU113" s="94"/>
      <c r="GV113" s="94"/>
      <c r="GW113" s="14"/>
      <c r="GX113" s="14"/>
      <c r="GY113" s="14"/>
      <c r="GZ113" s="14"/>
      <c r="HA113" s="19"/>
      <c r="HB113" s="96"/>
      <c r="HC113" s="94"/>
      <c r="HD113" s="94"/>
      <c r="HE113" s="14"/>
      <c r="HF113" s="14"/>
      <c r="HG113" s="14"/>
      <c r="HH113" s="14"/>
      <c r="HI113" s="19"/>
      <c r="HJ113" s="96"/>
      <c r="HK113" s="94"/>
      <c r="HL113" s="94"/>
      <c r="HM113" s="14"/>
      <c r="HN113" s="14"/>
      <c r="HO113" s="14"/>
      <c r="HP113" s="14"/>
      <c r="HQ113" s="19"/>
      <c r="HR113" s="96"/>
      <c r="HS113" s="94"/>
      <c r="HT113" s="94"/>
      <c r="HU113" s="14"/>
      <c r="HV113" s="14"/>
      <c r="HW113" s="14"/>
      <c r="HX113" s="14"/>
      <c r="HY113" s="19"/>
      <c r="HZ113" s="96"/>
      <c r="IA113" s="94"/>
      <c r="IB113" s="94"/>
      <c r="IC113" s="14"/>
      <c r="ID113" s="14"/>
      <c r="IE113" s="14"/>
      <c r="IF113" s="14"/>
      <c r="IG113" s="19"/>
      <c r="IH113" s="96"/>
      <c r="II113" s="94"/>
      <c r="IJ113" s="94"/>
      <c r="IK113" s="14"/>
      <c r="IL113" s="14"/>
      <c r="IM113" s="14"/>
      <c r="IN113" s="14"/>
    </row>
    <row r="114" spans="1:248" s="13" customFormat="1" ht="13.5" customHeight="1">
      <c r="A114" s="49"/>
      <c r="B114" s="2" t="s">
        <v>243</v>
      </c>
      <c r="C114" s="103"/>
      <c r="D114" s="102"/>
      <c r="E114" s="64"/>
      <c r="F114" s="64"/>
      <c r="G114" s="102">
        <f>SUM(G99:G113)</f>
        <v>3555</v>
      </c>
      <c r="H114" s="111">
        <f>SUM(H99:H113)</f>
        <v>95129.19138084125</v>
      </c>
      <c r="I114" s="35"/>
      <c r="J114" s="96"/>
      <c r="K114" s="94"/>
      <c r="L114" s="94"/>
      <c r="M114" s="14"/>
      <c r="N114" s="14"/>
      <c r="O114" s="14"/>
      <c r="P114" s="14"/>
      <c r="Q114" s="19"/>
      <c r="R114" s="96"/>
      <c r="S114" s="94"/>
      <c r="T114" s="94"/>
      <c r="U114" s="14"/>
      <c r="V114" s="14"/>
      <c r="W114" s="14"/>
      <c r="X114" s="14"/>
      <c r="Y114" s="19"/>
      <c r="Z114" s="96"/>
      <c r="AA114" s="94"/>
      <c r="AB114" s="94"/>
      <c r="AC114" s="14"/>
      <c r="AD114" s="14"/>
      <c r="AE114" s="14"/>
      <c r="AF114" s="14"/>
      <c r="AG114" s="19"/>
      <c r="AH114" s="96"/>
      <c r="AI114" s="94"/>
      <c r="AJ114" s="94"/>
      <c r="AK114" s="14"/>
      <c r="AL114" s="14"/>
      <c r="AM114" s="14"/>
      <c r="AN114" s="14"/>
      <c r="AO114" s="19"/>
      <c r="AP114" s="96"/>
      <c r="AQ114" s="94"/>
      <c r="AR114" s="94"/>
      <c r="AS114" s="14"/>
      <c r="AT114" s="14"/>
      <c r="AU114" s="14"/>
      <c r="AV114" s="14"/>
      <c r="AW114" s="19"/>
      <c r="AX114" s="96"/>
      <c r="AY114" s="94"/>
      <c r="AZ114" s="94"/>
      <c r="BA114" s="14"/>
      <c r="BB114" s="14"/>
      <c r="BC114" s="14"/>
      <c r="BD114" s="14"/>
      <c r="BE114" s="19"/>
      <c r="BF114" s="96"/>
      <c r="BG114" s="94"/>
      <c r="BH114" s="94"/>
      <c r="BI114" s="14"/>
      <c r="BJ114" s="14"/>
      <c r="BK114" s="14"/>
      <c r="BL114" s="14"/>
      <c r="BM114" s="19"/>
      <c r="BN114" s="96"/>
      <c r="BO114" s="94"/>
      <c r="BP114" s="94"/>
      <c r="BQ114" s="14"/>
      <c r="BR114" s="14"/>
      <c r="BS114" s="14"/>
      <c r="BT114" s="14"/>
      <c r="BU114" s="19"/>
      <c r="BV114" s="96"/>
      <c r="BW114" s="94"/>
      <c r="BX114" s="94"/>
      <c r="BY114" s="14"/>
      <c r="BZ114" s="14"/>
      <c r="CA114" s="14"/>
      <c r="CB114" s="14"/>
      <c r="CC114" s="19"/>
      <c r="CD114" s="96"/>
      <c r="CE114" s="94"/>
      <c r="CF114" s="94"/>
      <c r="CG114" s="14"/>
      <c r="CH114" s="14"/>
      <c r="CI114" s="14"/>
      <c r="CJ114" s="14"/>
      <c r="CK114" s="19"/>
      <c r="CL114" s="96"/>
      <c r="CM114" s="94"/>
      <c r="CN114" s="94"/>
      <c r="CO114" s="14"/>
      <c r="CP114" s="14"/>
      <c r="CQ114" s="14"/>
      <c r="CR114" s="14"/>
      <c r="CS114" s="19"/>
      <c r="CT114" s="96"/>
      <c r="CU114" s="94"/>
      <c r="CV114" s="94"/>
      <c r="CW114" s="14"/>
      <c r="CX114" s="14"/>
      <c r="CY114" s="14"/>
      <c r="CZ114" s="14"/>
      <c r="DA114" s="19"/>
      <c r="DB114" s="96"/>
      <c r="DC114" s="94"/>
      <c r="DD114" s="94"/>
      <c r="DE114" s="14"/>
      <c r="DF114" s="14"/>
      <c r="DG114" s="14"/>
      <c r="DH114" s="14"/>
      <c r="DI114" s="19"/>
      <c r="DJ114" s="96"/>
      <c r="DK114" s="94"/>
      <c r="DL114" s="94"/>
      <c r="DM114" s="14"/>
      <c r="DN114" s="14"/>
      <c r="DO114" s="14"/>
      <c r="DP114" s="14"/>
      <c r="DQ114" s="19"/>
      <c r="DR114" s="96"/>
      <c r="DS114" s="94"/>
      <c r="DT114" s="94"/>
      <c r="DU114" s="14"/>
      <c r="DV114" s="14"/>
      <c r="DW114" s="14"/>
      <c r="DX114" s="14"/>
      <c r="DY114" s="19"/>
      <c r="DZ114" s="96"/>
      <c r="EA114" s="94"/>
      <c r="EB114" s="94"/>
      <c r="EC114" s="14"/>
      <c r="ED114" s="14"/>
      <c r="EE114" s="14"/>
      <c r="EF114" s="14"/>
      <c r="EG114" s="19"/>
      <c r="EH114" s="96"/>
      <c r="EI114" s="94"/>
      <c r="EJ114" s="94"/>
      <c r="EK114" s="14"/>
      <c r="EL114" s="14"/>
      <c r="EM114" s="14"/>
      <c r="EN114" s="14"/>
      <c r="EO114" s="19"/>
      <c r="EP114" s="96"/>
      <c r="EQ114" s="94"/>
      <c r="ER114" s="94"/>
      <c r="ES114" s="14"/>
      <c r="ET114" s="14"/>
      <c r="EU114" s="14"/>
      <c r="EV114" s="14"/>
      <c r="EW114" s="19"/>
      <c r="EX114" s="96"/>
      <c r="EY114" s="94"/>
      <c r="EZ114" s="94"/>
      <c r="FA114" s="14"/>
      <c r="FB114" s="14"/>
      <c r="FC114" s="14"/>
      <c r="FD114" s="14"/>
      <c r="FE114" s="19"/>
      <c r="FF114" s="96"/>
      <c r="FG114" s="94"/>
      <c r="FH114" s="94"/>
      <c r="FI114" s="14"/>
      <c r="FJ114" s="14"/>
      <c r="FK114" s="14"/>
      <c r="FL114" s="14"/>
      <c r="FM114" s="19"/>
      <c r="FN114" s="96"/>
      <c r="FO114" s="94"/>
      <c r="FP114" s="94"/>
      <c r="FQ114" s="14"/>
      <c r="FR114" s="14"/>
      <c r="FS114" s="14"/>
      <c r="FT114" s="14"/>
      <c r="FU114" s="19"/>
      <c r="FV114" s="96"/>
      <c r="FW114" s="94"/>
      <c r="FX114" s="94"/>
      <c r="FY114" s="14"/>
      <c r="FZ114" s="14"/>
      <c r="GA114" s="14"/>
      <c r="GB114" s="14"/>
      <c r="GC114" s="19"/>
      <c r="GD114" s="96"/>
      <c r="GE114" s="94"/>
      <c r="GF114" s="94"/>
      <c r="GG114" s="14"/>
      <c r="GH114" s="14"/>
      <c r="GI114" s="14"/>
      <c r="GJ114" s="14"/>
      <c r="GK114" s="19"/>
      <c r="GL114" s="96"/>
      <c r="GM114" s="94"/>
      <c r="GN114" s="94"/>
      <c r="GO114" s="14"/>
      <c r="GP114" s="14"/>
      <c r="GQ114" s="14"/>
      <c r="GR114" s="14"/>
      <c r="GS114" s="19"/>
      <c r="GT114" s="96"/>
      <c r="GU114" s="94"/>
      <c r="GV114" s="94"/>
      <c r="GW114" s="14"/>
      <c r="GX114" s="14"/>
      <c r="GY114" s="14"/>
      <c r="GZ114" s="14"/>
      <c r="HA114" s="19"/>
      <c r="HB114" s="96"/>
      <c r="HC114" s="94"/>
      <c r="HD114" s="94"/>
      <c r="HE114" s="14"/>
      <c r="HF114" s="14"/>
      <c r="HG114" s="14"/>
      <c r="HH114" s="14"/>
      <c r="HI114" s="19"/>
      <c r="HJ114" s="96"/>
      <c r="HK114" s="94"/>
      <c r="HL114" s="94"/>
      <c r="HM114" s="14"/>
      <c r="HN114" s="14"/>
      <c r="HO114" s="14"/>
      <c r="HP114" s="14"/>
      <c r="HQ114" s="19"/>
      <c r="HR114" s="96"/>
      <c r="HS114" s="94"/>
      <c r="HT114" s="94"/>
      <c r="HU114" s="14"/>
      <c r="HV114" s="14"/>
      <c r="HW114" s="14"/>
      <c r="HX114" s="14"/>
      <c r="HY114" s="19"/>
      <c r="HZ114" s="96"/>
      <c r="IA114" s="94"/>
      <c r="IB114" s="94"/>
      <c r="IC114" s="14"/>
      <c r="ID114" s="14"/>
      <c r="IE114" s="14"/>
      <c r="IF114" s="14"/>
      <c r="IG114" s="19"/>
      <c r="IH114" s="96"/>
      <c r="II114" s="94"/>
      <c r="IJ114" s="94"/>
      <c r="IK114" s="14"/>
      <c r="IL114" s="14"/>
      <c r="IM114" s="14"/>
      <c r="IN114" s="14"/>
    </row>
    <row r="115" spans="1:248" s="13" customFormat="1" ht="17.25" customHeight="1">
      <c r="A115" s="49"/>
      <c r="B115" s="5" t="s">
        <v>384</v>
      </c>
      <c r="C115" s="103"/>
      <c r="D115" s="102"/>
      <c r="E115" s="64"/>
      <c r="F115" s="64"/>
      <c r="G115" s="141">
        <f>G88+G97+G114</f>
        <v>33270.71751999999</v>
      </c>
      <c r="H115" s="111">
        <f>H88+H97+H114</f>
        <v>890299.987155552</v>
      </c>
      <c r="I115" s="35"/>
      <c r="J115" s="96"/>
      <c r="K115" s="94"/>
      <c r="L115" s="94"/>
      <c r="M115" s="14"/>
      <c r="N115" s="14"/>
      <c r="O115" s="14"/>
      <c r="P115" s="14"/>
      <c r="Q115" s="19"/>
      <c r="R115" s="96"/>
      <c r="S115" s="94"/>
      <c r="T115" s="94"/>
      <c r="U115" s="14"/>
      <c r="V115" s="14"/>
      <c r="W115" s="14"/>
      <c r="X115" s="14"/>
      <c r="Y115" s="19"/>
      <c r="Z115" s="96"/>
      <c r="AA115" s="94"/>
      <c r="AB115" s="94"/>
      <c r="AC115" s="14"/>
      <c r="AD115" s="14"/>
      <c r="AE115" s="14"/>
      <c r="AF115" s="14"/>
      <c r="AG115" s="19"/>
      <c r="AH115" s="96"/>
      <c r="AI115" s="94"/>
      <c r="AJ115" s="94"/>
      <c r="AK115" s="14"/>
      <c r="AL115" s="14"/>
      <c r="AM115" s="14"/>
      <c r="AN115" s="14"/>
      <c r="AO115" s="19"/>
      <c r="AP115" s="96"/>
      <c r="AQ115" s="94"/>
      <c r="AR115" s="94"/>
      <c r="AS115" s="14"/>
      <c r="AT115" s="14"/>
      <c r="AU115" s="14"/>
      <c r="AV115" s="14"/>
      <c r="AW115" s="19"/>
      <c r="AX115" s="96"/>
      <c r="AY115" s="94"/>
      <c r="AZ115" s="94"/>
      <c r="BA115" s="14"/>
      <c r="BB115" s="14"/>
      <c r="BC115" s="14"/>
      <c r="BD115" s="14"/>
      <c r="BE115" s="19"/>
      <c r="BF115" s="96"/>
      <c r="BG115" s="94"/>
      <c r="BH115" s="94"/>
      <c r="BI115" s="14"/>
      <c r="BJ115" s="14"/>
      <c r="BK115" s="14"/>
      <c r="BL115" s="14"/>
      <c r="BM115" s="19"/>
      <c r="BN115" s="96"/>
      <c r="BO115" s="94"/>
      <c r="BP115" s="94"/>
      <c r="BQ115" s="14"/>
      <c r="BR115" s="14"/>
      <c r="BS115" s="14"/>
      <c r="BT115" s="14"/>
      <c r="BU115" s="19"/>
      <c r="BV115" s="96"/>
      <c r="BW115" s="94"/>
      <c r="BX115" s="94"/>
      <c r="BY115" s="14"/>
      <c r="BZ115" s="14"/>
      <c r="CA115" s="14"/>
      <c r="CB115" s="14"/>
      <c r="CC115" s="19"/>
      <c r="CD115" s="96"/>
      <c r="CE115" s="94"/>
      <c r="CF115" s="94"/>
      <c r="CG115" s="14"/>
      <c r="CH115" s="14"/>
      <c r="CI115" s="14"/>
      <c r="CJ115" s="14"/>
      <c r="CK115" s="19"/>
      <c r="CL115" s="96"/>
      <c r="CM115" s="94"/>
      <c r="CN115" s="94"/>
      <c r="CO115" s="14"/>
      <c r="CP115" s="14"/>
      <c r="CQ115" s="14"/>
      <c r="CR115" s="14"/>
      <c r="CS115" s="19"/>
      <c r="CT115" s="96"/>
      <c r="CU115" s="94"/>
      <c r="CV115" s="94"/>
      <c r="CW115" s="14"/>
      <c r="CX115" s="14"/>
      <c r="CY115" s="14"/>
      <c r="CZ115" s="14"/>
      <c r="DA115" s="19"/>
      <c r="DB115" s="96"/>
      <c r="DC115" s="94"/>
      <c r="DD115" s="94"/>
      <c r="DE115" s="14"/>
      <c r="DF115" s="14"/>
      <c r="DG115" s="14"/>
      <c r="DH115" s="14"/>
      <c r="DI115" s="19"/>
      <c r="DJ115" s="96"/>
      <c r="DK115" s="94"/>
      <c r="DL115" s="94"/>
      <c r="DM115" s="14"/>
      <c r="DN115" s="14"/>
      <c r="DO115" s="14"/>
      <c r="DP115" s="14"/>
      <c r="DQ115" s="19"/>
      <c r="DR115" s="96"/>
      <c r="DS115" s="94"/>
      <c r="DT115" s="94"/>
      <c r="DU115" s="14"/>
      <c r="DV115" s="14"/>
      <c r="DW115" s="14"/>
      <c r="DX115" s="14"/>
      <c r="DY115" s="19"/>
      <c r="DZ115" s="96"/>
      <c r="EA115" s="94"/>
      <c r="EB115" s="94"/>
      <c r="EC115" s="14"/>
      <c r="ED115" s="14"/>
      <c r="EE115" s="14"/>
      <c r="EF115" s="14"/>
      <c r="EG115" s="19"/>
      <c r="EH115" s="96"/>
      <c r="EI115" s="94"/>
      <c r="EJ115" s="94"/>
      <c r="EK115" s="14"/>
      <c r="EL115" s="14"/>
      <c r="EM115" s="14"/>
      <c r="EN115" s="14"/>
      <c r="EO115" s="19"/>
      <c r="EP115" s="96"/>
      <c r="EQ115" s="94"/>
      <c r="ER115" s="94"/>
      <c r="ES115" s="14"/>
      <c r="ET115" s="14"/>
      <c r="EU115" s="14"/>
      <c r="EV115" s="14"/>
      <c r="EW115" s="19"/>
      <c r="EX115" s="96"/>
      <c r="EY115" s="94"/>
      <c r="EZ115" s="94"/>
      <c r="FA115" s="14"/>
      <c r="FB115" s="14"/>
      <c r="FC115" s="14"/>
      <c r="FD115" s="14"/>
      <c r="FE115" s="19"/>
      <c r="FF115" s="96"/>
      <c r="FG115" s="94"/>
      <c r="FH115" s="94"/>
      <c r="FI115" s="14"/>
      <c r="FJ115" s="14"/>
      <c r="FK115" s="14"/>
      <c r="FL115" s="14"/>
      <c r="FM115" s="19"/>
      <c r="FN115" s="96"/>
      <c r="FO115" s="94"/>
      <c r="FP115" s="94"/>
      <c r="FQ115" s="14"/>
      <c r="FR115" s="14"/>
      <c r="FS115" s="14"/>
      <c r="FT115" s="14"/>
      <c r="FU115" s="19"/>
      <c r="FV115" s="96"/>
      <c r="FW115" s="94"/>
      <c r="FX115" s="94"/>
      <c r="FY115" s="14"/>
      <c r="FZ115" s="14"/>
      <c r="GA115" s="14"/>
      <c r="GB115" s="14"/>
      <c r="GC115" s="19"/>
      <c r="GD115" s="96"/>
      <c r="GE115" s="94"/>
      <c r="GF115" s="94"/>
      <c r="GG115" s="14"/>
      <c r="GH115" s="14"/>
      <c r="GI115" s="14"/>
      <c r="GJ115" s="14"/>
      <c r="GK115" s="19"/>
      <c r="GL115" s="96"/>
      <c r="GM115" s="94"/>
      <c r="GN115" s="94"/>
      <c r="GO115" s="14"/>
      <c r="GP115" s="14"/>
      <c r="GQ115" s="14"/>
      <c r="GR115" s="14"/>
      <c r="GS115" s="19"/>
      <c r="GT115" s="96"/>
      <c r="GU115" s="94"/>
      <c r="GV115" s="94"/>
      <c r="GW115" s="14"/>
      <c r="GX115" s="14"/>
      <c r="GY115" s="14"/>
      <c r="GZ115" s="14"/>
      <c r="HA115" s="19"/>
      <c r="HB115" s="96"/>
      <c r="HC115" s="94"/>
      <c r="HD115" s="94"/>
      <c r="HE115" s="14"/>
      <c r="HF115" s="14"/>
      <c r="HG115" s="14"/>
      <c r="HH115" s="14"/>
      <c r="HI115" s="19"/>
      <c r="HJ115" s="96"/>
      <c r="HK115" s="94"/>
      <c r="HL115" s="94"/>
      <c r="HM115" s="14"/>
      <c r="HN115" s="14"/>
      <c r="HO115" s="14"/>
      <c r="HP115" s="14"/>
      <c r="HQ115" s="19"/>
      <c r="HR115" s="96"/>
      <c r="HS115" s="94"/>
      <c r="HT115" s="94"/>
      <c r="HU115" s="14"/>
      <c r="HV115" s="14"/>
      <c r="HW115" s="14"/>
      <c r="HX115" s="14"/>
      <c r="HY115" s="19"/>
      <c r="HZ115" s="96"/>
      <c r="IA115" s="94"/>
      <c r="IB115" s="94"/>
      <c r="IC115" s="14"/>
      <c r="ID115" s="14"/>
      <c r="IE115" s="14"/>
      <c r="IF115" s="14"/>
      <c r="IG115" s="19"/>
      <c r="IH115" s="96"/>
      <c r="II115" s="94"/>
      <c r="IJ115" s="94"/>
      <c r="IK115" s="14"/>
      <c r="IL115" s="14"/>
      <c r="IM115" s="14"/>
      <c r="IN115" s="14"/>
    </row>
    <row r="116" spans="1:248" s="13" customFormat="1" ht="12.75">
      <c r="A116" s="49">
        <v>23</v>
      </c>
      <c r="B116" s="2" t="s">
        <v>347</v>
      </c>
      <c r="C116" s="35"/>
      <c r="D116" s="35"/>
      <c r="E116" s="37"/>
      <c r="F116" s="37"/>
      <c r="G116" s="100"/>
      <c r="H116" s="99"/>
      <c r="I116" s="49"/>
      <c r="J116" s="96"/>
      <c r="K116" s="94"/>
      <c r="L116" s="94"/>
      <c r="M116" s="14"/>
      <c r="N116" s="14"/>
      <c r="O116" s="15"/>
      <c r="P116" s="14"/>
      <c r="Q116" s="19"/>
      <c r="R116" s="96"/>
      <c r="S116" s="94"/>
      <c r="T116" s="94"/>
      <c r="U116" s="14"/>
      <c r="V116" s="14"/>
      <c r="W116" s="15"/>
      <c r="X116" s="14"/>
      <c r="Y116" s="19"/>
      <c r="Z116" s="96"/>
      <c r="AA116" s="94"/>
      <c r="AB116" s="94"/>
      <c r="AC116" s="14"/>
      <c r="AD116" s="14"/>
      <c r="AE116" s="15"/>
      <c r="AF116" s="14"/>
      <c r="AG116" s="19"/>
      <c r="AH116" s="96"/>
      <c r="AI116" s="94"/>
      <c r="AJ116" s="94"/>
      <c r="AK116" s="14"/>
      <c r="AL116" s="14"/>
      <c r="AM116" s="15"/>
      <c r="AN116" s="14"/>
      <c r="AO116" s="19"/>
      <c r="AP116" s="96"/>
      <c r="AQ116" s="94"/>
      <c r="AR116" s="94"/>
      <c r="AS116" s="14"/>
      <c r="AT116" s="14"/>
      <c r="AU116" s="15"/>
      <c r="AV116" s="14"/>
      <c r="AW116" s="19"/>
      <c r="AX116" s="96"/>
      <c r="AY116" s="94"/>
      <c r="AZ116" s="94"/>
      <c r="BA116" s="14"/>
      <c r="BB116" s="14"/>
      <c r="BC116" s="15"/>
      <c r="BD116" s="14"/>
      <c r="BE116" s="19"/>
      <c r="BF116" s="96"/>
      <c r="BG116" s="94"/>
      <c r="BH116" s="94"/>
      <c r="BI116" s="14"/>
      <c r="BJ116" s="14"/>
      <c r="BK116" s="15"/>
      <c r="BL116" s="14"/>
      <c r="BM116" s="19"/>
      <c r="BN116" s="96"/>
      <c r="BO116" s="94"/>
      <c r="BP116" s="94"/>
      <c r="BQ116" s="14"/>
      <c r="BR116" s="14"/>
      <c r="BS116" s="15"/>
      <c r="BT116" s="14"/>
      <c r="BU116" s="19"/>
      <c r="BV116" s="96"/>
      <c r="BW116" s="94"/>
      <c r="BX116" s="94"/>
      <c r="BY116" s="14"/>
      <c r="BZ116" s="14"/>
      <c r="CA116" s="15"/>
      <c r="CB116" s="14"/>
      <c r="CC116" s="19"/>
      <c r="CD116" s="96"/>
      <c r="CE116" s="94"/>
      <c r="CF116" s="94"/>
      <c r="CG116" s="14"/>
      <c r="CH116" s="14"/>
      <c r="CI116" s="15"/>
      <c r="CJ116" s="14"/>
      <c r="CK116" s="19"/>
      <c r="CL116" s="96"/>
      <c r="CM116" s="94"/>
      <c r="CN116" s="94"/>
      <c r="CO116" s="14"/>
      <c r="CP116" s="14"/>
      <c r="CQ116" s="15"/>
      <c r="CR116" s="14"/>
      <c r="CS116" s="19"/>
      <c r="CT116" s="96"/>
      <c r="CU116" s="94"/>
      <c r="CV116" s="94"/>
      <c r="CW116" s="14"/>
      <c r="CX116" s="14"/>
      <c r="CY116" s="15"/>
      <c r="CZ116" s="14"/>
      <c r="DA116" s="19"/>
      <c r="DB116" s="96"/>
      <c r="DC116" s="94"/>
      <c r="DD116" s="94"/>
      <c r="DE116" s="14"/>
      <c r="DF116" s="14"/>
      <c r="DG116" s="15"/>
      <c r="DH116" s="14"/>
      <c r="DI116" s="19"/>
      <c r="DJ116" s="96"/>
      <c r="DK116" s="94"/>
      <c r="DL116" s="94"/>
      <c r="DM116" s="14"/>
      <c r="DN116" s="14"/>
      <c r="DO116" s="15"/>
      <c r="DP116" s="14"/>
      <c r="DQ116" s="19"/>
      <c r="DR116" s="96"/>
      <c r="DS116" s="94"/>
      <c r="DT116" s="94"/>
      <c r="DU116" s="14"/>
      <c r="DV116" s="14"/>
      <c r="DW116" s="15"/>
      <c r="DX116" s="14"/>
      <c r="DY116" s="19"/>
      <c r="DZ116" s="96"/>
      <c r="EA116" s="94"/>
      <c r="EB116" s="94"/>
      <c r="EC116" s="14"/>
      <c r="ED116" s="14"/>
      <c r="EE116" s="15"/>
      <c r="EF116" s="14"/>
      <c r="EG116" s="19"/>
      <c r="EH116" s="96"/>
      <c r="EI116" s="94"/>
      <c r="EJ116" s="94"/>
      <c r="EK116" s="14"/>
      <c r="EL116" s="14"/>
      <c r="EM116" s="15"/>
      <c r="EN116" s="14"/>
      <c r="EO116" s="19"/>
      <c r="EP116" s="96"/>
      <c r="EQ116" s="94"/>
      <c r="ER116" s="94"/>
      <c r="ES116" s="14"/>
      <c r="ET116" s="14"/>
      <c r="EU116" s="15"/>
      <c r="EV116" s="14"/>
      <c r="EW116" s="19"/>
      <c r="EX116" s="96"/>
      <c r="EY116" s="94"/>
      <c r="EZ116" s="94"/>
      <c r="FA116" s="14"/>
      <c r="FB116" s="14"/>
      <c r="FC116" s="15"/>
      <c r="FD116" s="14"/>
      <c r="FE116" s="19"/>
      <c r="FF116" s="96"/>
      <c r="FG116" s="94"/>
      <c r="FH116" s="94"/>
      <c r="FI116" s="14"/>
      <c r="FJ116" s="14"/>
      <c r="FK116" s="15"/>
      <c r="FL116" s="14"/>
      <c r="FM116" s="19"/>
      <c r="FN116" s="96"/>
      <c r="FO116" s="94"/>
      <c r="FP116" s="94"/>
      <c r="FQ116" s="14"/>
      <c r="FR116" s="14"/>
      <c r="FS116" s="15"/>
      <c r="FT116" s="14"/>
      <c r="FU116" s="19"/>
      <c r="FV116" s="96"/>
      <c r="FW116" s="94"/>
      <c r="FX116" s="94"/>
      <c r="FY116" s="14"/>
      <c r="FZ116" s="14"/>
      <c r="GA116" s="15"/>
      <c r="GB116" s="14"/>
      <c r="GC116" s="19"/>
      <c r="GD116" s="96"/>
      <c r="GE116" s="94"/>
      <c r="GF116" s="94"/>
      <c r="GG116" s="14"/>
      <c r="GH116" s="14"/>
      <c r="GI116" s="15"/>
      <c r="GJ116" s="14"/>
      <c r="GK116" s="19"/>
      <c r="GL116" s="96"/>
      <c r="GM116" s="94"/>
      <c r="GN116" s="94"/>
      <c r="GO116" s="14"/>
      <c r="GP116" s="14"/>
      <c r="GQ116" s="15"/>
      <c r="GR116" s="14"/>
      <c r="GS116" s="19"/>
      <c r="GT116" s="96"/>
      <c r="GU116" s="94"/>
      <c r="GV116" s="94"/>
      <c r="GW116" s="14"/>
      <c r="GX116" s="14"/>
      <c r="GY116" s="15"/>
      <c r="GZ116" s="14"/>
      <c r="HA116" s="19"/>
      <c r="HB116" s="96"/>
      <c r="HC116" s="94"/>
      <c r="HD116" s="94"/>
      <c r="HE116" s="14"/>
      <c r="HF116" s="14"/>
      <c r="HG116" s="15"/>
      <c r="HH116" s="14"/>
      <c r="HI116" s="19"/>
      <c r="HJ116" s="96"/>
      <c r="HK116" s="94"/>
      <c r="HL116" s="94"/>
      <c r="HM116" s="14"/>
      <c r="HN116" s="14"/>
      <c r="HO116" s="15"/>
      <c r="HP116" s="14"/>
      <c r="HQ116" s="19"/>
      <c r="HR116" s="96"/>
      <c r="HS116" s="94"/>
      <c r="HT116" s="94"/>
      <c r="HU116" s="14"/>
      <c r="HV116" s="14"/>
      <c r="HW116" s="15"/>
      <c r="HX116" s="14"/>
      <c r="HY116" s="19"/>
      <c r="HZ116" s="96"/>
      <c r="IA116" s="94"/>
      <c r="IB116" s="94"/>
      <c r="IC116" s="14"/>
      <c r="ID116" s="14"/>
      <c r="IE116" s="15"/>
      <c r="IF116" s="14"/>
      <c r="IG116" s="19"/>
      <c r="IH116" s="96"/>
      <c r="II116" s="94"/>
      <c r="IJ116" s="94"/>
      <c r="IK116" s="14"/>
      <c r="IL116" s="14"/>
      <c r="IM116" s="15"/>
      <c r="IN116" s="14"/>
    </row>
    <row r="117" spans="1:248" s="13" customFormat="1" ht="12.75">
      <c r="A117" s="49"/>
      <c r="B117" s="3" t="s">
        <v>179</v>
      </c>
      <c r="C117" s="35" t="s">
        <v>48</v>
      </c>
      <c r="D117" s="37">
        <v>886</v>
      </c>
      <c r="E117" s="37">
        <v>1</v>
      </c>
      <c r="F117" s="37">
        <v>1</v>
      </c>
      <c r="G117" s="77">
        <f>D117*E117*F117</f>
        <v>886</v>
      </c>
      <c r="H117" s="104">
        <v>45548</v>
      </c>
      <c r="I117" s="37" t="s">
        <v>404</v>
      </c>
      <c r="J117" s="96"/>
      <c r="L117" s="96"/>
      <c r="M117" s="94"/>
      <c r="N117" s="140"/>
      <c r="O117" s="15"/>
      <c r="P117" s="14"/>
      <c r="Q117" s="19"/>
      <c r="R117" s="96"/>
      <c r="S117" s="94"/>
      <c r="T117" s="94"/>
      <c r="U117" s="14"/>
      <c r="V117" s="14"/>
      <c r="W117" s="15"/>
      <c r="X117" s="14"/>
      <c r="Y117" s="19"/>
      <c r="Z117" s="96"/>
      <c r="AA117" s="94"/>
      <c r="AB117" s="94"/>
      <c r="AC117" s="14"/>
      <c r="AD117" s="14"/>
      <c r="AE117" s="15"/>
      <c r="AF117" s="14"/>
      <c r="AG117" s="19"/>
      <c r="AH117" s="96"/>
      <c r="AI117" s="94"/>
      <c r="AJ117" s="94"/>
      <c r="AK117" s="14"/>
      <c r="AL117" s="14"/>
      <c r="AM117" s="15"/>
      <c r="AN117" s="14"/>
      <c r="AO117" s="19"/>
      <c r="AP117" s="96"/>
      <c r="AQ117" s="94"/>
      <c r="AR117" s="94"/>
      <c r="AS117" s="14"/>
      <c r="AT117" s="14"/>
      <c r="AU117" s="15"/>
      <c r="AV117" s="14"/>
      <c r="AW117" s="19"/>
      <c r="AX117" s="96"/>
      <c r="AY117" s="94"/>
      <c r="AZ117" s="94"/>
      <c r="BA117" s="14"/>
      <c r="BB117" s="14"/>
      <c r="BC117" s="15"/>
      <c r="BD117" s="14"/>
      <c r="BE117" s="19"/>
      <c r="BF117" s="96"/>
      <c r="BG117" s="94"/>
      <c r="BH117" s="94"/>
      <c r="BI117" s="14"/>
      <c r="BJ117" s="14"/>
      <c r="BK117" s="15"/>
      <c r="BL117" s="14"/>
      <c r="BM117" s="19"/>
      <c r="BN117" s="96"/>
      <c r="BO117" s="94"/>
      <c r="BP117" s="94"/>
      <c r="BQ117" s="14"/>
      <c r="BR117" s="14"/>
      <c r="BS117" s="15"/>
      <c r="BT117" s="14"/>
      <c r="BU117" s="19"/>
      <c r="BV117" s="96"/>
      <c r="BW117" s="94"/>
      <c r="BX117" s="94"/>
      <c r="BY117" s="14"/>
      <c r="BZ117" s="14"/>
      <c r="CA117" s="15"/>
      <c r="CB117" s="14"/>
      <c r="CC117" s="19"/>
      <c r="CD117" s="96"/>
      <c r="CE117" s="94"/>
      <c r="CF117" s="94"/>
      <c r="CG117" s="14"/>
      <c r="CH117" s="14"/>
      <c r="CI117" s="15"/>
      <c r="CJ117" s="14"/>
      <c r="CK117" s="19"/>
      <c r="CL117" s="96"/>
      <c r="CM117" s="94"/>
      <c r="CN117" s="94"/>
      <c r="CO117" s="14"/>
      <c r="CP117" s="14"/>
      <c r="CQ117" s="15"/>
      <c r="CR117" s="14"/>
      <c r="CS117" s="19"/>
      <c r="CT117" s="96"/>
      <c r="CU117" s="94"/>
      <c r="CV117" s="94"/>
      <c r="CW117" s="14"/>
      <c r="CX117" s="14"/>
      <c r="CY117" s="15"/>
      <c r="CZ117" s="14"/>
      <c r="DA117" s="19"/>
      <c r="DB117" s="96"/>
      <c r="DC117" s="94"/>
      <c r="DD117" s="94"/>
      <c r="DE117" s="14"/>
      <c r="DF117" s="14"/>
      <c r="DG117" s="15"/>
      <c r="DH117" s="14"/>
      <c r="DI117" s="19"/>
      <c r="DJ117" s="96"/>
      <c r="DK117" s="94"/>
      <c r="DL117" s="94"/>
      <c r="DM117" s="14"/>
      <c r="DN117" s="14"/>
      <c r="DO117" s="15"/>
      <c r="DP117" s="14"/>
      <c r="DQ117" s="19"/>
      <c r="DR117" s="96"/>
      <c r="DS117" s="94"/>
      <c r="DT117" s="94"/>
      <c r="DU117" s="14"/>
      <c r="DV117" s="14"/>
      <c r="DW117" s="15"/>
      <c r="DX117" s="14"/>
      <c r="DY117" s="19"/>
      <c r="DZ117" s="96"/>
      <c r="EA117" s="94"/>
      <c r="EB117" s="94"/>
      <c r="EC117" s="14"/>
      <c r="ED117" s="14"/>
      <c r="EE117" s="15"/>
      <c r="EF117" s="14"/>
      <c r="EG117" s="19"/>
      <c r="EH117" s="96"/>
      <c r="EI117" s="94"/>
      <c r="EJ117" s="94"/>
      <c r="EK117" s="14"/>
      <c r="EL117" s="14"/>
      <c r="EM117" s="15"/>
      <c r="EN117" s="14"/>
      <c r="EO117" s="19"/>
      <c r="EP117" s="96"/>
      <c r="EQ117" s="94"/>
      <c r="ER117" s="94"/>
      <c r="ES117" s="14"/>
      <c r="ET117" s="14"/>
      <c r="EU117" s="15"/>
      <c r="EV117" s="14"/>
      <c r="EW117" s="19"/>
      <c r="EX117" s="96"/>
      <c r="EY117" s="94"/>
      <c r="EZ117" s="94"/>
      <c r="FA117" s="14"/>
      <c r="FB117" s="14"/>
      <c r="FC117" s="15"/>
      <c r="FD117" s="14"/>
      <c r="FE117" s="19"/>
      <c r="FF117" s="96"/>
      <c r="FG117" s="94"/>
      <c r="FH117" s="94"/>
      <c r="FI117" s="14"/>
      <c r="FJ117" s="14"/>
      <c r="FK117" s="15"/>
      <c r="FL117" s="14"/>
      <c r="FM117" s="19"/>
      <c r="FN117" s="96"/>
      <c r="FO117" s="94"/>
      <c r="FP117" s="94"/>
      <c r="FQ117" s="14"/>
      <c r="FR117" s="14"/>
      <c r="FS117" s="15"/>
      <c r="FT117" s="14"/>
      <c r="FU117" s="19"/>
      <c r="FV117" s="96"/>
      <c r="FW117" s="94"/>
      <c r="FX117" s="94"/>
      <c r="FY117" s="14"/>
      <c r="FZ117" s="14"/>
      <c r="GA117" s="15"/>
      <c r="GB117" s="14"/>
      <c r="GC117" s="19"/>
      <c r="GD117" s="96"/>
      <c r="GE117" s="94"/>
      <c r="GF117" s="94"/>
      <c r="GG117" s="14"/>
      <c r="GH117" s="14"/>
      <c r="GI117" s="15"/>
      <c r="GJ117" s="14"/>
      <c r="GK117" s="19"/>
      <c r="GL117" s="96"/>
      <c r="GM117" s="94"/>
      <c r="GN117" s="94"/>
      <c r="GO117" s="14"/>
      <c r="GP117" s="14"/>
      <c r="GQ117" s="15"/>
      <c r="GR117" s="14"/>
      <c r="GS117" s="19"/>
      <c r="GT117" s="96"/>
      <c r="GU117" s="94"/>
      <c r="GV117" s="94"/>
      <c r="GW117" s="14"/>
      <c r="GX117" s="14"/>
      <c r="GY117" s="15"/>
      <c r="GZ117" s="14"/>
      <c r="HA117" s="19"/>
      <c r="HB117" s="96"/>
      <c r="HC117" s="94"/>
      <c r="HD117" s="94"/>
      <c r="HE117" s="14"/>
      <c r="HF117" s="14"/>
      <c r="HG117" s="15"/>
      <c r="HH117" s="14"/>
      <c r="HI117" s="19"/>
      <c r="HJ117" s="96"/>
      <c r="HK117" s="94"/>
      <c r="HL117" s="94"/>
      <c r="HM117" s="14"/>
      <c r="HN117" s="14"/>
      <c r="HO117" s="15"/>
      <c r="HP117" s="14"/>
      <c r="HQ117" s="19"/>
      <c r="HR117" s="96"/>
      <c r="HS117" s="94"/>
      <c r="HT117" s="94"/>
      <c r="HU117" s="14"/>
      <c r="HV117" s="14"/>
      <c r="HW117" s="15"/>
      <c r="HX117" s="14"/>
      <c r="HY117" s="19"/>
      <c r="HZ117" s="96"/>
      <c r="IA117" s="94"/>
      <c r="IB117" s="94"/>
      <c r="IC117" s="14"/>
      <c r="ID117" s="14"/>
      <c r="IE117" s="15"/>
      <c r="IF117" s="14"/>
      <c r="IG117" s="19"/>
      <c r="IH117" s="96"/>
      <c r="II117" s="94"/>
      <c r="IJ117" s="94"/>
      <c r="IK117" s="14"/>
      <c r="IL117" s="14"/>
      <c r="IM117" s="15"/>
      <c r="IN117" s="14"/>
    </row>
    <row r="118" spans="1:248" s="13" customFormat="1" ht="12.75">
      <c r="A118" s="49"/>
      <c r="B118" s="3" t="s">
        <v>181</v>
      </c>
      <c r="C118" s="35" t="s">
        <v>48</v>
      </c>
      <c r="D118" s="35">
        <v>596</v>
      </c>
      <c r="E118" s="37">
        <v>1</v>
      </c>
      <c r="F118" s="37">
        <v>1</v>
      </c>
      <c r="G118" s="77">
        <f aca="true" t="shared" si="4" ref="G118:G128">D118*E118*F118</f>
        <v>596</v>
      </c>
      <c r="H118" s="104">
        <v>58783</v>
      </c>
      <c r="I118" s="37" t="s">
        <v>405</v>
      </c>
      <c r="J118" s="96"/>
      <c r="L118" s="96"/>
      <c r="M118" s="94"/>
      <c r="N118" s="14"/>
      <c r="O118" s="15"/>
      <c r="P118" s="14"/>
      <c r="Q118" s="19"/>
      <c r="R118" s="96"/>
      <c r="S118" s="94"/>
      <c r="T118" s="94"/>
      <c r="U118" s="14"/>
      <c r="V118" s="14"/>
      <c r="W118" s="15"/>
      <c r="X118" s="14"/>
      <c r="Y118" s="19"/>
      <c r="Z118" s="96"/>
      <c r="AA118" s="94"/>
      <c r="AB118" s="94"/>
      <c r="AC118" s="14"/>
      <c r="AD118" s="14"/>
      <c r="AE118" s="15"/>
      <c r="AF118" s="14"/>
      <c r="AG118" s="19"/>
      <c r="AH118" s="96"/>
      <c r="AI118" s="94"/>
      <c r="AJ118" s="94"/>
      <c r="AK118" s="14"/>
      <c r="AL118" s="14"/>
      <c r="AM118" s="15"/>
      <c r="AN118" s="14"/>
      <c r="AO118" s="19"/>
      <c r="AP118" s="96"/>
      <c r="AQ118" s="94"/>
      <c r="AR118" s="94"/>
      <c r="AS118" s="14"/>
      <c r="AT118" s="14"/>
      <c r="AU118" s="15"/>
      <c r="AV118" s="14"/>
      <c r="AW118" s="19"/>
      <c r="AX118" s="96"/>
      <c r="AY118" s="94"/>
      <c r="AZ118" s="94"/>
      <c r="BA118" s="14"/>
      <c r="BB118" s="14"/>
      <c r="BC118" s="15"/>
      <c r="BD118" s="14"/>
      <c r="BE118" s="19"/>
      <c r="BF118" s="96"/>
      <c r="BG118" s="94"/>
      <c r="BH118" s="94"/>
      <c r="BI118" s="14"/>
      <c r="BJ118" s="14"/>
      <c r="BK118" s="15"/>
      <c r="BL118" s="14"/>
      <c r="BM118" s="19"/>
      <c r="BN118" s="96"/>
      <c r="BO118" s="94"/>
      <c r="BP118" s="94"/>
      <c r="BQ118" s="14"/>
      <c r="BR118" s="14"/>
      <c r="BS118" s="15"/>
      <c r="BT118" s="14"/>
      <c r="BU118" s="19"/>
      <c r="BV118" s="96"/>
      <c r="BW118" s="94"/>
      <c r="BX118" s="94"/>
      <c r="BY118" s="14"/>
      <c r="BZ118" s="14"/>
      <c r="CA118" s="15"/>
      <c r="CB118" s="14"/>
      <c r="CC118" s="19"/>
      <c r="CD118" s="96"/>
      <c r="CE118" s="94"/>
      <c r="CF118" s="94"/>
      <c r="CG118" s="14"/>
      <c r="CH118" s="14"/>
      <c r="CI118" s="15"/>
      <c r="CJ118" s="14"/>
      <c r="CK118" s="19"/>
      <c r="CL118" s="96"/>
      <c r="CM118" s="94"/>
      <c r="CN118" s="94"/>
      <c r="CO118" s="14"/>
      <c r="CP118" s="14"/>
      <c r="CQ118" s="15"/>
      <c r="CR118" s="14"/>
      <c r="CS118" s="19"/>
      <c r="CT118" s="96"/>
      <c r="CU118" s="94"/>
      <c r="CV118" s="94"/>
      <c r="CW118" s="14"/>
      <c r="CX118" s="14"/>
      <c r="CY118" s="15"/>
      <c r="CZ118" s="14"/>
      <c r="DA118" s="19"/>
      <c r="DB118" s="96"/>
      <c r="DC118" s="94"/>
      <c r="DD118" s="94"/>
      <c r="DE118" s="14"/>
      <c r="DF118" s="14"/>
      <c r="DG118" s="15"/>
      <c r="DH118" s="14"/>
      <c r="DI118" s="19"/>
      <c r="DJ118" s="96"/>
      <c r="DK118" s="94"/>
      <c r="DL118" s="94"/>
      <c r="DM118" s="14"/>
      <c r="DN118" s="14"/>
      <c r="DO118" s="15"/>
      <c r="DP118" s="14"/>
      <c r="DQ118" s="19"/>
      <c r="DR118" s="96"/>
      <c r="DS118" s="94"/>
      <c r="DT118" s="94"/>
      <c r="DU118" s="14"/>
      <c r="DV118" s="14"/>
      <c r="DW118" s="15"/>
      <c r="DX118" s="14"/>
      <c r="DY118" s="19"/>
      <c r="DZ118" s="96"/>
      <c r="EA118" s="94"/>
      <c r="EB118" s="94"/>
      <c r="EC118" s="14"/>
      <c r="ED118" s="14"/>
      <c r="EE118" s="15"/>
      <c r="EF118" s="14"/>
      <c r="EG118" s="19"/>
      <c r="EH118" s="96"/>
      <c r="EI118" s="94"/>
      <c r="EJ118" s="94"/>
      <c r="EK118" s="14"/>
      <c r="EL118" s="14"/>
      <c r="EM118" s="15"/>
      <c r="EN118" s="14"/>
      <c r="EO118" s="19"/>
      <c r="EP118" s="96"/>
      <c r="EQ118" s="94"/>
      <c r="ER118" s="94"/>
      <c r="ES118" s="14"/>
      <c r="ET118" s="14"/>
      <c r="EU118" s="15"/>
      <c r="EV118" s="14"/>
      <c r="EW118" s="19"/>
      <c r="EX118" s="96"/>
      <c r="EY118" s="94"/>
      <c r="EZ118" s="94"/>
      <c r="FA118" s="14"/>
      <c r="FB118" s="14"/>
      <c r="FC118" s="15"/>
      <c r="FD118" s="14"/>
      <c r="FE118" s="19"/>
      <c r="FF118" s="96"/>
      <c r="FG118" s="94"/>
      <c r="FH118" s="94"/>
      <c r="FI118" s="14"/>
      <c r="FJ118" s="14"/>
      <c r="FK118" s="15"/>
      <c r="FL118" s="14"/>
      <c r="FM118" s="19"/>
      <c r="FN118" s="96"/>
      <c r="FO118" s="94"/>
      <c r="FP118" s="94"/>
      <c r="FQ118" s="14"/>
      <c r="FR118" s="14"/>
      <c r="FS118" s="15"/>
      <c r="FT118" s="14"/>
      <c r="FU118" s="19"/>
      <c r="FV118" s="96"/>
      <c r="FW118" s="94"/>
      <c r="FX118" s="94"/>
      <c r="FY118" s="14"/>
      <c r="FZ118" s="14"/>
      <c r="GA118" s="15"/>
      <c r="GB118" s="14"/>
      <c r="GC118" s="19"/>
      <c r="GD118" s="96"/>
      <c r="GE118" s="94"/>
      <c r="GF118" s="94"/>
      <c r="GG118" s="14"/>
      <c r="GH118" s="14"/>
      <c r="GI118" s="15"/>
      <c r="GJ118" s="14"/>
      <c r="GK118" s="19"/>
      <c r="GL118" s="96"/>
      <c r="GM118" s="94"/>
      <c r="GN118" s="94"/>
      <c r="GO118" s="14"/>
      <c r="GP118" s="14"/>
      <c r="GQ118" s="15"/>
      <c r="GR118" s="14"/>
      <c r="GS118" s="19"/>
      <c r="GT118" s="96"/>
      <c r="GU118" s="94"/>
      <c r="GV118" s="94"/>
      <c r="GW118" s="14"/>
      <c r="GX118" s="14"/>
      <c r="GY118" s="15"/>
      <c r="GZ118" s="14"/>
      <c r="HA118" s="19"/>
      <c r="HB118" s="96"/>
      <c r="HC118" s="94"/>
      <c r="HD118" s="94"/>
      <c r="HE118" s="14"/>
      <c r="HF118" s="14"/>
      <c r="HG118" s="15"/>
      <c r="HH118" s="14"/>
      <c r="HI118" s="19"/>
      <c r="HJ118" s="96"/>
      <c r="HK118" s="94"/>
      <c r="HL118" s="94"/>
      <c r="HM118" s="14"/>
      <c r="HN118" s="14"/>
      <c r="HO118" s="15"/>
      <c r="HP118" s="14"/>
      <c r="HQ118" s="19"/>
      <c r="HR118" s="96"/>
      <c r="HS118" s="94"/>
      <c r="HT118" s="94"/>
      <c r="HU118" s="14"/>
      <c r="HV118" s="14"/>
      <c r="HW118" s="15"/>
      <c r="HX118" s="14"/>
      <c r="HY118" s="19"/>
      <c r="HZ118" s="96"/>
      <c r="IA118" s="94"/>
      <c r="IB118" s="94"/>
      <c r="IC118" s="14"/>
      <c r="ID118" s="14"/>
      <c r="IE118" s="15"/>
      <c r="IF118" s="14"/>
      <c r="IG118" s="19"/>
      <c r="IH118" s="96"/>
      <c r="II118" s="94"/>
      <c r="IJ118" s="94"/>
      <c r="IK118" s="14"/>
      <c r="IL118" s="14"/>
      <c r="IM118" s="15"/>
      <c r="IN118" s="14"/>
    </row>
    <row r="119" spans="1:248" s="13" customFormat="1" ht="12.75">
      <c r="A119" s="49"/>
      <c r="B119" s="3" t="s">
        <v>373</v>
      </c>
      <c r="C119" s="35" t="s">
        <v>48</v>
      </c>
      <c r="D119" s="35">
        <v>719</v>
      </c>
      <c r="E119" s="37">
        <v>1</v>
      </c>
      <c r="F119" s="37">
        <v>1</v>
      </c>
      <c r="G119" s="77">
        <f t="shared" si="4"/>
        <v>719</v>
      </c>
      <c r="H119" s="104">
        <v>16006</v>
      </c>
      <c r="I119" s="37" t="s">
        <v>406</v>
      </c>
      <c r="J119" s="96"/>
      <c r="L119" s="96"/>
      <c r="M119" s="94"/>
      <c r="N119" s="14"/>
      <c r="O119" s="15"/>
      <c r="P119" s="14"/>
      <c r="Q119" s="19"/>
      <c r="R119" s="96"/>
      <c r="S119" s="94"/>
      <c r="T119" s="94"/>
      <c r="U119" s="14"/>
      <c r="V119" s="14"/>
      <c r="W119" s="15"/>
      <c r="X119" s="14"/>
      <c r="Y119" s="19"/>
      <c r="Z119" s="96"/>
      <c r="AA119" s="94"/>
      <c r="AB119" s="94"/>
      <c r="AC119" s="14"/>
      <c r="AD119" s="14"/>
      <c r="AE119" s="15"/>
      <c r="AF119" s="14"/>
      <c r="AG119" s="19"/>
      <c r="AH119" s="96"/>
      <c r="AI119" s="94"/>
      <c r="AJ119" s="94"/>
      <c r="AK119" s="14"/>
      <c r="AL119" s="14"/>
      <c r="AM119" s="15"/>
      <c r="AN119" s="14"/>
      <c r="AO119" s="19"/>
      <c r="AP119" s="96"/>
      <c r="AQ119" s="94"/>
      <c r="AR119" s="94"/>
      <c r="AS119" s="14"/>
      <c r="AT119" s="14"/>
      <c r="AU119" s="15"/>
      <c r="AV119" s="14"/>
      <c r="AW119" s="19"/>
      <c r="AX119" s="96"/>
      <c r="AY119" s="94"/>
      <c r="AZ119" s="94"/>
      <c r="BA119" s="14"/>
      <c r="BB119" s="14"/>
      <c r="BC119" s="15"/>
      <c r="BD119" s="14"/>
      <c r="BE119" s="19"/>
      <c r="BF119" s="96"/>
      <c r="BG119" s="94"/>
      <c r="BH119" s="94"/>
      <c r="BI119" s="14"/>
      <c r="BJ119" s="14"/>
      <c r="BK119" s="15"/>
      <c r="BL119" s="14"/>
      <c r="BM119" s="19"/>
      <c r="BN119" s="96"/>
      <c r="BO119" s="94"/>
      <c r="BP119" s="94"/>
      <c r="BQ119" s="14"/>
      <c r="BR119" s="14"/>
      <c r="BS119" s="15"/>
      <c r="BT119" s="14"/>
      <c r="BU119" s="19"/>
      <c r="BV119" s="96"/>
      <c r="BW119" s="94"/>
      <c r="BX119" s="94"/>
      <c r="BY119" s="14"/>
      <c r="BZ119" s="14"/>
      <c r="CA119" s="15"/>
      <c r="CB119" s="14"/>
      <c r="CC119" s="19"/>
      <c r="CD119" s="96"/>
      <c r="CE119" s="94"/>
      <c r="CF119" s="94"/>
      <c r="CG119" s="14"/>
      <c r="CH119" s="14"/>
      <c r="CI119" s="15"/>
      <c r="CJ119" s="14"/>
      <c r="CK119" s="19"/>
      <c r="CL119" s="96"/>
      <c r="CM119" s="94"/>
      <c r="CN119" s="94"/>
      <c r="CO119" s="14"/>
      <c r="CP119" s="14"/>
      <c r="CQ119" s="15"/>
      <c r="CR119" s="14"/>
      <c r="CS119" s="19"/>
      <c r="CT119" s="96"/>
      <c r="CU119" s="94"/>
      <c r="CV119" s="94"/>
      <c r="CW119" s="14"/>
      <c r="CX119" s="14"/>
      <c r="CY119" s="15"/>
      <c r="CZ119" s="14"/>
      <c r="DA119" s="19"/>
      <c r="DB119" s="96"/>
      <c r="DC119" s="94"/>
      <c r="DD119" s="94"/>
      <c r="DE119" s="14"/>
      <c r="DF119" s="14"/>
      <c r="DG119" s="15"/>
      <c r="DH119" s="14"/>
      <c r="DI119" s="19"/>
      <c r="DJ119" s="96"/>
      <c r="DK119" s="94"/>
      <c r="DL119" s="94"/>
      <c r="DM119" s="14"/>
      <c r="DN119" s="14"/>
      <c r="DO119" s="15"/>
      <c r="DP119" s="14"/>
      <c r="DQ119" s="19"/>
      <c r="DR119" s="96"/>
      <c r="DS119" s="94"/>
      <c r="DT119" s="94"/>
      <c r="DU119" s="14"/>
      <c r="DV119" s="14"/>
      <c r="DW119" s="15"/>
      <c r="DX119" s="14"/>
      <c r="DY119" s="19"/>
      <c r="DZ119" s="96"/>
      <c r="EA119" s="94"/>
      <c r="EB119" s="94"/>
      <c r="EC119" s="14"/>
      <c r="ED119" s="14"/>
      <c r="EE119" s="15"/>
      <c r="EF119" s="14"/>
      <c r="EG119" s="19"/>
      <c r="EH119" s="96"/>
      <c r="EI119" s="94"/>
      <c r="EJ119" s="94"/>
      <c r="EK119" s="14"/>
      <c r="EL119" s="14"/>
      <c r="EM119" s="15"/>
      <c r="EN119" s="14"/>
      <c r="EO119" s="19"/>
      <c r="EP119" s="96"/>
      <c r="EQ119" s="94"/>
      <c r="ER119" s="94"/>
      <c r="ES119" s="14"/>
      <c r="ET119" s="14"/>
      <c r="EU119" s="15"/>
      <c r="EV119" s="14"/>
      <c r="EW119" s="19"/>
      <c r="EX119" s="96"/>
      <c r="EY119" s="94"/>
      <c r="EZ119" s="94"/>
      <c r="FA119" s="14"/>
      <c r="FB119" s="14"/>
      <c r="FC119" s="15"/>
      <c r="FD119" s="14"/>
      <c r="FE119" s="19"/>
      <c r="FF119" s="96"/>
      <c r="FG119" s="94"/>
      <c r="FH119" s="94"/>
      <c r="FI119" s="14"/>
      <c r="FJ119" s="14"/>
      <c r="FK119" s="15"/>
      <c r="FL119" s="14"/>
      <c r="FM119" s="19"/>
      <c r="FN119" s="96"/>
      <c r="FO119" s="94"/>
      <c r="FP119" s="94"/>
      <c r="FQ119" s="14"/>
      <c r="FR119" s="14"/>
      <c r="FS119" s="15"/>
      <c r="FT119" s="14"/>
      <c r="FU119" s="19"/>
      <c r="FV119" s="96"/>
      <c r="FW119" s="94"/>
      <c r="FX119" s="94"/>
      <c r="FY119" s="14"/>
      <c r="FZ119" s="14"/>
      <c r="GA119" s="15"/>
      <c r="GB119" s="14"/>
      <c r="GC119" s="19"/>
      <c r="GD119" s="96"/>
      <c r="GE119" s="94"/>
      <c r="GF119" s="94"/>
      <c r="GG119" s="14"/>
      <c r="GH119" s="14"/>
      <c r="GI119" s="15"/>
      <c r="GJ119" s="14"/>
      <c r="GK119" s="19"/>
      <c r="GL119" s="96"/>
      <c r="GM119" s="94"/>
      <c r="GN119" s="94"/>
      <c r="GO119" s="14"/>
      <c r="GP119" s="14"/>
      <c r="GQ119" s="15"/>
      <c r="GR119" s="14"/>
      <c r="GS119" s="19"/>
      <c r="GT119" s="96"/>
      <c r="GU119" s="94"/>
      <c r="GV119" s="94"/>
      <c r="GW119" s="14"/>
      <c r="GX119" s="14"/>
      <c r="GY119" s="15"/>
      <c r="GZ119" s="14"/>
      <c r="HA119" s="19"/>
      <c r="HB119" s="96"/>
      <c r="HC119" s="94"/>
      <c r="HD119" s="94"/>
      <c r="HE119" s="14"/>
      <c r="HF119" s="14"/>
      <c r="HG119" s="15"/>
      <c r="HH119" s="14"/>
      <c r="HI119" s="19"/>
      <c r="HJ119" s="96"/>
      <c r="HK119" s="94"/>
      <c r="HL119" s="94"/>
      <c r="HM119" s="14"/>
      <c r="HN119" s="14"/>
      <c r="HO119" s="15"/>
      <c r="HP119" s="14"/>
      <c r="HQ119" s="19"/>
      <c r="HR119" s="96"/>
      <c r="HS119" s="94"/>
      <c r="HT119" s="94"/>
      <c r="HU119" s="14"/>
      <c r="HV119" s="14"/>
      <c r="HW119" s="15"/>
      <c r="HX119" s="14"/>
      <c r="HY119" s="19"/>
      <c r="HZ119" s="96"/>
      <c r="IA119" s="94"/>
      <c r="IB119" s="94"/>
      <c r="IC119" s="14"/>
      <c r="ID119" s="14"/>
      <c r="IE119" s="15"/>
      <c r="IF119" s="14"/>
      <c r="IG119" s="19"/>
      <c r="IH119" s="96"/>
      <c r="II119" s="94"/>
      <c r="IJ119" s="94"/>
      <c r="IK119" s="14"/>
      <c r="IL119" s="14"/>
      <c r="IM119" s="15"/>
      <c r="IN119" s="14"/>
    </row>
    <row r="120" spans="1:248" s="13" customFormat="1" ht="12.75">
      <c r="A120" s="49"/>
      <c r="B120" s="3" t="s">
        <v>233</v>
      </c>
      <c r="C120" s="35" t="s">
        <v>48</v>
      </c>
      <c r="D120" s="35">
        <v>336</v>
      </c>
      <c r="E120" s="37">
        <v>1</v>
      </c>
      <c r="F120" s="37">
        <v>1</v>
      </c>
      <c r="G120" s="77">
        <f t="shared" si="4"/>
        <v>336</v>
      </c>
      <c r="H120" s="104">
        <f>20158-120</f>
        <v>20038</v>
      </c>
      <c r="I120" s="37" t="s">
        <v>407</v>
      </c>
      <c r="J120" s="96"/>
      <c r="L120" s="96"/>
      <c r="M120" s="94"/>
      <c r="N120" s="14"/>
      <c r="O120" s="14"/>
      <c r="P120" s="14"/>
      <c r="Q120" s="19"/>
      <c r="R120" s="96"/>
      <c r="S120" s="94"/>
      <c r="T120" s="94"/>
      <c r="U120" s="14"/>
      <c r="V120" s="14"/>
      <c r="W120" s="14"/>
      <c r="X120" s="14"/>
      <c r="Y120" s="19"/>
      <c r="Z120" s="96"/>
      <c r="AA120" s="94"/>
      <c r="AB120" s="94"/>
      <c r="AC120" s="14"/>
      <c r="AD120" s="14"/>
      <c r="AE120" s="14"/>
      <c r="AF120" s="14"/>
      <c r="AG120" s="19"/>
      <c r="AH120" s="96"/>
      <c r="AI120" s="94"/>
      <c r="AJ120" s="94"/>
      <c r="AK120" s="14"/>
      <c r="AL120" s="14"/>
      <c r="AM120" s="14"/>
      <c r="AN120" s="14"/>
      <c r="AO120" s="19"/>
      <c r="AP120" s="96"/>
      <c r="AQ120" s="94"/>
      <c r="AR120" s="94"/>
      <c r="AS120" s="14"/>
      <c r="AT120" s="14"/>
      <c r="AU120" s="14"/>
      <c r="AV120" s="14"/>
      <c r="AW120" s="19"/>
      <c r="AX120" s="96"/>
      <c r="AY120" s="94"/>
      <c r="AZ120" s="94"/>
      <c r="BA120" s="14"/>
      <c r="BB120" s="14"/>
      <c r="BC120" s="14"/>
      <c r="BD120" s="14"/>
      <c r="BE120" s="19"/>
      <c r="BF120" s="96"/>
      <c r="BG120" s="94"/>
      <c r="BH120" s="94"/>
      <c r="BI120" s="14"/>
      <c r="BJ120" s="14"/>
      <c r="BK120" s="14"/>
      <c r="BL120" s="14"/>
      <c r="BM120" s="19"/>
      <c r="BN120" s="96"/>
      <c r="BO120" s="94"/>
      <c r="BP120" s="94"/>
      <c r="BQ120" s="14"/>
      <c r="BR120" s="14"/>
      <c r="BS120" s="14"/>
      <c r="BT120" s="14"/>
      <c r="BU120" s="19"/>
      <c r="BV120" s="96"/>
      <c r="BW120" s="94"/>
      <c r="BX120" s="94"/>
      <c r="BY120" s="14"/>
      <c r="BZ120" s="14"/>
      <c r="CA120" s="14"/>
      <c r="CB120" s="14"/>
      <c r="CC120" s="19"/>
      <c r="CD120" s="96"/>
      <c r="CE120" s="94"/>
      <c r="CF120" s="94"/>
      <c r="CG120" s="14"/>
      <c r="CH120" s="14"/>
      <c r="CI120" s="14"/>
      <c r="CJ120" s="14"/>
      <c r="CK120" s="19"/>
      <c r="CL120" s="96"/>
      <c r="CM120" s="94"/>
      <c r="CN120" s="94"/>
      <c r="CO120" s="14"/>
      <c r="CP120" s="14"/>
      <c r="CQ120" s="14"/>
      <c r="CR120" s="14"/>
      <c r="CS120" s="19"/>
      <c r="CT120" s="96"/>
      <c r="CU120" s="94"/>
      <c r="CV120" s="94"/>
      <c r="CW120" s="14"/>
      <c r="CX120" s="14"/>
      <c r="CY120" s="14"/>
      <c r="CZ120" s="14"/>
      <c r="DA120" s="19"/>
      <c r="DB120" s="96"/>
      <c r="DC120" s="94"/>
      <c r="DD120" s="94"/>
      <c r="DE120" s="14"/>
      <c r="DF120" s="14"/>
      <c r="DG120" s="14"/>
      <c r="DH120" s="14"/>
      <c r="DI120" s="19"/>
      <c r="DJ120" s="96"/>
      <c r="DK120" s="94"/>
      <c r="DL120" s="94"/>
      <c r="DM120" s="14"/>
      <c r="DN120" s="14"/>
      <c r="DO120" s="14"/>
      <c r="DP120" s="14"/>
      <c r="DQ120" s="19"/>
      <c r="DR120" s="96"/>
      <c r="DS120" s="94"/>
      <c r="DT120" s="94"/>
      <c r="DU120" s="14"/>
      <c r="DV120" s="14"/>
      <c r="DW120" s="14"/>
      <c r="DX120" s="14"/>
      <c r="DY120" s="19"/>
      <c r="DZ120" s="96"/>
      <c r="EA120" s="94"/>
      <c r="EB120" s="94"/>
      <c r="EC120" s="14"/>
      <c r="ED120" s="14"/>
      <c r="EE120" s="14"/>
      <c r="EF120" s="14"/>
      <c r="EG120" s="19"/>
      <c r="EH120" s="96"/>
      <c r="EI120" s="94"/>
      <c r="EJ120" s="94"/>
      <c r="EK120" s="14"/>
      <c r="EL120" s="14"/>
      <c r="EM120" s="14"/>
      <c r="EN120" s="14"/>
      <c r="EO120" s="19"/>
      <c r="EP120" s="96"/>
      <c r="EQ120" s="94"/>
      <c r="ER120" s="94"/>
      <c r="ES120" s="14"/>
      <c r="ET120" s="14"/>
      <c r="EU120" s="14"/>
      <c r="EV120" s="14"/>
      <c r="EW120" s="19"/>
      <c r="EX120" s="96"/>
      <c r="EY120" s="94"/>
      <c r="EZ120" s="94"/>
      <c r="FA120" s="14"/>
      <c r="FB120" s="14"/>
      <c r="FC120" s="14"/>
      <c r="FD120" s="14"/>
      <c r="FE120" s="19"/>
      <c r="FF120" s="96"/>
      <c r="FG120" s="94"/>
      <c r="FH120" s="94"/>
      <c r="FI120" s="14"/>
      <c r="FJ120" s="14"/>
      <c r="FK120" s="14"/>
      <c r="FL120" s="14"/>
      <c r="FM120" s="19"/>
      <c r="FN120" s="96"/>
      <c r="FO120" s="94"/>
      <c r="FP120" s="94"/>
      <c r="FQ120" s="14"/>
      <c r="FR120" s="14"/>
      <c r="FS120" s="14"/>
      <c r="FT120" s="14"/>
      <c r="FU120" s="19"/>
      <c r="FV120" s="96"/>
      <c r="FW120" s="94"/>
      <c r="FX120" s="94"/>
      <c r="FY120" s="14"/>
      <c r="FZ120" s="14"/>
      <c r="GA120" s="14"/>
      <c r="GB120" s="14"/>
      <c r="GC120" s="19"/>
      <c r="GD120" s="96"/>
      <c r="GE120" s="94"/>
      <c r="GF120" s="94"/>
      <c r="GG120" s="14"/>
      <c r="GH120" s="14"/>
      <c r="GI120" s="14"/>
      <c r="GJ120" s="14"/>
      <c r="GK120" s="19"/>
      <c r="GL120" s="96"/>
      <c r="GM120" s="94"/>
      <c r="GN120" s="94"/>
      <c r="GO120" s="14"/>
      <c r="GP120" s="14"/>
      <c r="GQ120" s="14"/>
      <c r="GR120" s="14"/>
      <c r="GS120" s="19"/>
      <c r="GT120" s="96"/>
      <c r="GU120" s="94"/>
      <c r="GV120" s="94"/>
      <c r="GW120" s="14"/>
      <c r="GX120" s="14"/>
      <c r="GY120" s="14"/>
      <c r="GZ120" s="14"/>
      <c r="HA120" s="19"/>
      <c r="HB120" s="96"/>
      <c r="HC120" s="94"/>
      <c r="HD120" s="94"/>
      <c r="HE120" s="14"/>
      <c r="HF120" s="14"/>
      <c r="HG120" s="14"/>
      <c r="HH120" s="14"/>
      <c r="HI120" s="19"/>
      <c r="HJ120" s="96"/>
      <c r="HK120" s="94"/>
      <c r="HL120" s="94"/>
      <c r="HM120" s="14"/>
      <c r="HN120" s="14"/>
      <c r="HO120" s="14"/>
      <c r="HP120" s="14"/>
      <c r="HQ120" s="19"/>
      <c r="HR120" s="96"/>
      <c r="HS120" s="94"/>
      <c r="HT120" s="94"/>
      <c r="HU120" s="14"/>
      <c r="HV120" s="14"/>
      <c r="HW120" s="14"/>
      <c r="HX120" s="14"/>
      <c r="HY120" s="19"/>
      <c r="HZ120" s="96"/>
      <c r="IA120" s="94"/>
      <c r="IB120" s="94"/>
      <c r="IC120" s="14"/>
      <c r="ID120" s="14"/>
      <c r="IE120" s="14"/>
      <c r="IF120" s="14"/>
      <c r="IG120" s="19"/>
      <c r="IH120" s="96"/>
      <c r="II120" s="94"/>
      <c r="IJ120" s="94"/>
      <c r="IK120" s="14"/>
      <c r="IL120" s="14"/>
      <c r="IM120" s="14"/>
      <c r="IN120" s="14"/>
    </row>
    <row r="121" spans="1:248" s="13" customFormat="1" ht="12.75">
      <c r="A121" s="49"/>
      <c r="B121" s="3" t="s">
        <v>408</v>
      </c>
      <c r="C121" s="35" t="s">
        <v>48</v>
      </c>
      <c r="D121" s="35">
        <v>3330</v>
      </c>
      <c r="E121" s="37">
        <v>1</v>
      </c>
      <c r="F121" s="37">
        <v>1</v>
      </c>
      <c r="G121" s="77">
        <f t="shared" si="4"/>
        <v>3330</v>
      </c>
      <c r="H121" s="104">
        <v>296554</v>
      </c>
      <c r="I121" s="37" t="s">
        <v>409</v>
      </c>
      <c r="J121" s="96"/>
      <c r="L121" s="96"/>
      <c r="M121" s="94"/>
      <c r="N121" s="14"/>
      <c r="O121" s="14"/>
      <c r="P121" s="14"/>
      <c r="Q121" s="19"/>
      <c r="R121" s="96"/>
      <c r="S121" s="94"/>
      <c r="T121" s="94"/>
      <c r="U121" s="14"/>
      <c r="V121" s="14"/>
      <c r="W121" s="14"/>
      <c r="X121" s="14"/>
      <c r="Y121" s="19"/>
      <c r="Z121" s="96"/>
      <c r="AA121" s="94"/>
      <c r="AB121" s="94"/>
      <c r="AC121" s="14"/>
      <c r="AD121" s="14"/>
      <c r="AE121" s="14"/>
      <c r="AF121" s="14"/>
      <c r="AG121" s="19"/>
      <c r="AH121" s="96"/>
      <c r="AI121" s="94"/>
      <c r="AJ121" s="94"/>
      <c r="AK121" s="14"/>
      <c r="AL121" s="14"/>
      <c r="AM121" s="14"/>
      <c r="AN121" s="14"/>
      <c r="AO121" s="19"/>
      <c r="AP121" s="96"/>
      <c r="AQ121" s="94"/>
      <c r="AR121" s="94"/>
      <c r="AS121" s="14"/>
      <c r="AT121" s="14"/>
      <c r="AU121" s="14"/>
      <c r="AV121" s="14"/>
      <c r="AW121" s="19"/>
      <c r="AX121" s="96"/>
      <c r="AY121" s="94"/>
      <c r="AZ121" s="94"/>
      <c r="BA121" s="14"/>
      <c r="BB121" s="14"/>
      <c r="BC121" s="14"/>
      <c r="BD121" s="14"/>
      <c r="BE121" s="19"/>
      <c r="BF121" s="96"/>
      <c r="BG121" s="94"/>
      <c r="BH121" s="94"/>
      <c r="BI121" s="14"/>
      <c r="BJ121" s="14"/>
      <c r="BK121" s="14"/>
      <c r="BL121" s="14"/>
      <c r="BM121" s="19"/>
      <c r="BN121" s="96"/>
      <c r="BO121" s="94"/>
      <c r="BP121" s="94"/>
      <c r="BQ121" s="14"/>
      <c r="BR121" s="14"/>
      <c r="BS121" s="14"/>
      <c r="BT121" s="14"/>
      <c r="BU121" s="19"/>
      <c r="BV121" s="96"/>
      <c r="BW121" s="94"/>
      <c r="BX121" s="94"/>
      <c r="BY121" s="14"/>
      <c r="BZ121" s="14"/>
      <c r="CA121" s="14"/>
      <c r="CB121" s="14"/>
      <c r="CC121" s="19"/>
      <c r="CD121" s="96"/>
      <c r="CE121" s="94"/>
      <c r="CF121" s="94"/>
      <c r="CG121" s="14"/>
      <c r="CH121" s="14"/>
      <c r="CI121" s="14"/>
      <c r="CJ121" s="14"/>
      <c r="CK121" s="19"/>
      <c r="CL121" s="96"/>
      <c r="CM121" s="94"/>
      <c r="CN121" s="94"/>
      <c r="CO121" s="14"/>
      <c r="CP121" s="14"/>
      <c r="CQ121" s="14"/>
      <c r="CR121" s="14"/>
      <c r="CS121" s="19"/>
      <c r="CT121" s="96"/>
      <c r="CU121" s="94"/>
      <c r="CV121" s="94"/>
      <c r="CW121" s="14"/>
      <c r="CX121" s="14"/>
      <c r="CY121" s="14"/>
      <c r="CZ121" s="14"/>
      <c r="DA121" s="19"/>
      <c r="DB121" s="96"/>
      <c r="DC121" s="94"/>
      <c r="DD121" s="94"/>
      <c r="DE121" s="14"/>
      <c r="DF121" s="14"/>
      <c r="DG121" s="14"/>
      <c r="DH121" s="14"/>
      <c r="DI121" s="19"/>
      <c r="DJ121" s="96"/>
      <c r="DK121" s="94"/>
      <c r="DL121" s="94"/>
      <c r="DM121" s="14"/>
      <c r="DN121" s="14"/>
      <c r="DO121" s="14"/>
      <c r="DP121" s="14"/>
      <c r="DQ121" s="19"/>
      <c r="DR121" s="96"/>
      <c r="DS121" s="94"/>
      <c r="DT121" s="94"/>
      <c r="DU121" s="14"/>
      <c r="DV121" s="14"/>
      <c r="DW121" s="14"/>
      <c r="DX121" s="14"/>
      <c r="DY121" s="19"/>
      <c r="DZ121" s="96"/>
      <c r="EA121" s="94"/>
      <c r="EB121" s="94"/>
      <c r="EC121" s="14"/>
      <c r="ED121" s="14"/>
      <c r="EE121" s="14"/>
      <c r="EF121" s="14"/>
      <c r="EG121" s="19"/>
      <c r="EH121" s="96"/>
      <c r="EI121" s="94"/>
      <c r="EJ121" s="94"/>
      <c r="EK121" s="14"/>
      <c r="EL121" s="14"/>
      <c r="EM121" s="14"/>
      <c r="EN121" s="14"/>
      <c r="EO121" s="19"/>
      <c r="EP121" s="96"/>
      <c r="EQ121" s="94"/>
      <c r="ER121" s="94"/>
      <c r="ES121" s="14"/>
      <c r="ET121" s="14"/>
      <c r="EU121" s="14"/>
      <c r="EV121" s="14"/>
      <c r="EW121" s="19"/>
      <c r="EX121" s="96"/>
      <c r="EY121" s="94"/>
      <c r="EZ121" s="94"/>
      <c r="FA121" s="14"/>
      <c r="FB121" s="14"/>
      <c r="FC121" s="14"/>
      <c r="FD121" s="14"/>
      <c r="FE121" s="19"/>
      <c r="FF121" s="96"/>
      <c r="FG121" s="94"/>
      <c r="FH121" s="94"/>
      <c r="FI121" s="14"/>
      <c r="FJ121" s="14"/>
      <c r="FK121" s="14"/>
      <c r="FL121" s="14"/>
      <c r="FM121" s="19"/>
      <c r="FN121" s="96"/>
      <c r="FO121" s="94"/>
      <c r="FP121" s="94"/>
      <c r="FQ121" s="14"/>
      <c r="FR121" s="14"/>
      <c r="FS121" s="14"/>
      <c r="FT121" s="14"/>
      <c r="FU121" s="19"/>
      <c r="FV121" s="96"/>
      <c r="FW121" s="94"/>
      <c r="FX121" s="94"/>
      <c r="FY121" s="14"/>
      <c r="FZ121" s="14"/>
      <c r="GA121" s="14"/>
      <c r="GB121" s="14"/>
      <c r="GC121" s="19"/>
      <c r="GD121" s="96"/>
      <c r="GE121" s="94"/>
      <c r="GF121" s="94"/>
      <c r="GG121" s="14"/>
      <c r="GH121" s="14"/>
      <c r="GI121" s="14"/>
      <c r="GJ121" s="14"/>
      <c r="GK121" s="19"/>
      <c r="GL121" s="96"/>
      <c r="GM121" s="94"/>
      <c r="GN121" s="94"/>
      <c r="GO121" s="14"/>
      <c r="GP121" s="14"/>
      <c r="GQ121" s="14"/>
      <c r="GR121" s="14"/>
      <c r="GS121" s="19"/>
      <c r="GT121" s="96"/>
      <c r="GU121" s="94"/>
      <c r="GV121" s="94"/>
      <c r="GW121" s="14"/>
      <c r="GX121" s="14"/>
      <c r="GY121" s="14"/>
      <c r="GZ121" s="14"/>
      <c r="HA121" s="19"/>
      <c r="HB121" s="96"/>
      <c r="HC121" s="94"/>
      <c r="HD121" s="94"/>
      <c r="HE121" s="14"/>
      <c r="HF121" s="14"/>
      <c r="HG121" s="14"/>
      <c r="HH121" s="14"/>
      <c r="HI121" s="19"/>
      <c r="HJ121" s="96"/>
      <c r="HK121" s="94"/>
      <c r="HL121" s="94"/>
      <c r="HM121" s="14"/>
      <c r="HN121" s="14"/>
      <c r="HO121" s="14"/>
      <c r="HP121" s="14"/>
      <c r="HQ121" s="19"/>
      <c r="HR121" s="96"/>
      <c r="HS121" s="94"/>
      <c r="HT121" s="94"/>
      <c r="HU121" s="14"/>
      <c r="HV121" s="14"/>
      <c r="HW121" s="14"/>
      <c r="HX121" s="14"/>
      <c r="HY121" s="19"/>
      <c r="HZ121" s="96"/>
      <c r="IA121" s="94"/>
      <c r="IB121" s="94"/>
      <c r="IC121" s="14"/>
      <c r="ID121" s="14"/>
      <c r="IE121" s="14"/>
      <c r="IF121" s="14"/>
      <c r="IG121" s="19"/>
      <c r="IH121" s="96"/>
      <c r="II121" s="94"/>
      <c r="IJ121" s="94"/>
      <c r="IK121" s="14"/>
      <c r="IL121" s="14"/>
      <c r="IM121" s="14"/>
      <c r="IN121" s="14"/>
    </row>
    <row r="122" spans="1:248" s="13" customFormat="1" ht="12.75" customHeight="1">
      <c r="A122" s="49"/>
      <c r="B122" s="3" t="s">
        <v>372</v>
      </c>
      <c r="C122" s="35" t="s">
        <v>48</v>
      </c>
      <c r="D122" s="37">
        <v>69</v>
      </c>
      <c r="E122" s="37">
        <v>1</v>
      </c>
      <c r="F122" s="37">
        <v>1</v>
      </c>
      <c r="G122" s="77">
        <f t="shared" si="4"/>
        <v>69</v>
      </c>
      <c r="H122" s="104">
        <v>1810</v>
      </c>
      <c r="I122" s="37" t="s">
        <v>410</v>
      </c>
      <c r="L122" s="96"/>
      <c r="M122" s="94"/>
      <c r="N122" s="14"/>
      <c r="O122" s="14"/>
      <c r="P122" s="14"/>
      <c r="Q122" s="19"/>
      <c r="R122" s="96"/>
      <c r="S122" s="94"/>
      <c r="T122" s="94"/>
      <c r="U122" s="14"/>
      <c r="V122" s="14"/>
      <c r="W122" s="14"/>
      <c r="X122" s="14"/>
      <c r="Y122" s="19"/>
      <c r="Z122" s="96"/>
      <c r="AA122" s="94"/>
      <c r="AB122" s="94"/>
      <c r="AC122" s="14"/>
      <c r="AD122" s="14"/>
      <c r="AE122" s="14"/>
      <c r="AF122" s="14"/>
      <c r="AG122" s="19"/>
      <c r="AH122" s="96"/>
      <c r="AI122" s="94"/>
      <c r="AJ122" s="94"/>
      <c r="AK122" s="14"/>
      <c r="AL122" s="14"/>
      <c r="AM122" s="14"/>
      <c r="AN122" s="14"/>
      <c r="AO122" s="19"/>
      <c r="AP122" s="96"/>
      <c r="AQ122" s="94"/>
      <c r="AR122" s="94"/>
      <c r="AS122" s="14"/>
      <c r="AT122" s="14"/>
      <c r="AU122" s="14"/>
      <c r="AV122" s="14"/>
      <c r="AW122" s="19"/>
      <c r="AX122" s="96"/>
      <c r="AY122" s="94"/>
      <c r="AZ122" s="94"/>
      <c r="BA122" s="14"/>
      <c r="BB122" s="14"/>
      <c r="BC122" s="14"/>
      <c r="BD122" s="14"/>
      <c r="BE122" s="19"/>
      <c r="BF122" s="96"/>
      <c r="BG122" s="94"/>
      <c r="BH122" s="94"/>
      <c r="BI122" s="14"/>
      <c r="BJ122" s="14"/>
      <c r="BK122" s="14"/>
      <c r="BL122" s="14"/>
      <c r="BM122" s="19"/>
      <c r="BN122" s="96"/>
      <c r="BO122" s="94"/>
      <c r="BP122" s="94"/>
      <c r="BQ122" s="14"/>
      <c r="BR122" s="14"/>
      <c r="BS122" s="14"/>
      <c r="BT122" s="14"/>
      <c r="BU122" s="19"/>
      <c r="BV122" s="96"/>
      <c r="BW122" s="94"/>
      <c r="BX122" s="94"/>
      <c r="BY122" s="14"/>
      <c r="BZ122" s="14"/>
      <c r="CA122" s="14"/>
      <c r="CB122" s="14"/>
      <c r="CC122" s="19"/>
      <c r="CD122" s="96"/>
      <c r="CE122" s="94"/>
      <c r="CF122" s="94"/>
      <c r="CG122" s="14"/>
      <c r="CH122" s="14"/>
      <c r="CI122" s="14"/>
      <c r="CJ122" s="14"/>
      <c r="CK122" s="19"/>
      <c r="CL122" s="96"/>
      <c r="CM122" s="94"/>
      <c r="CN122" s="94"/>
      <c r="CO122" s="14"/>
      <c r="CP122" s="14"/>
      <c r="CQ122" s="14"/>
      <c r="CR122" s="14"/>
      <c r="CS122" s="19"/>
      <c r="CT122" s="96"/>
      <c r="CU122" s="94"/>
      <c r="CV122" s="94"/>
      <c r="CW122" s="14"/>
      <c r="CX122" s="14"/>
      <c r="CY122" s="14"/>
      <c r="CZ122" s="14"/>
      <c r="DA122" s="19"/>
      <c r="DB122" s="96"/>
      <c r="DC122" s="94"/>
      <c r="DD122" s="94"/>
      <c r="DE122" s="14"/>
      <c r="DF122" s="14"/>
      <c r="DG122" s="14"/>
      <c r="DH122" s="14"/>
      <c r="DI122" s="19"/>
      <c r="DJ122" s="96"/>
      <c r="DK122" s="94"/>
      <c r="DL122" s="94"/>
      <c r="DM122" s="14"/>
      <c r="DN122" s="14"/>
      <c r="DO122" s="14"/>
      <c r="DP122" s="14"/>
      <c r="DQ122" s="19"/>
      <c r="DR122" s="96"/>
      <c r="DS122" s="94"/>
      <c r="DT122" s="94"/>
      <c r="DU122" s="14"/>
      <c r="DV122" s="14"/>
      <c r="DW122" s="14"/>
      <c r="DX122" s="14"/>
      <c r="DY122" s="19"/>
      <c r="DZ122" s="96"/>
      <c r="EA122" s="94"/>
      <c r="EB122" s="94"/>
      <c r="EC122" s="14"/>
      <c r="ED122" s="14"/>
      <c r="EE122" s="14"/>
      <c r="EF122" s="14"/>
      <c r="EG122" s="19"/>
      <c r="EH122" s="96"/>
      <c r="EI122" s="94"/>
      <c r="EJ122" s="94"/>
      <c r="EK122" s="14"/>
      <c r="EL122" s="14"/>
      <c r="EM122" s="14"/>
      <c r="EN122" s="14"/>
      <c r="EO122" s="19"/>
      <c r="EP122" s="96"/>
      <c r="EQ122" s="94"/>
      <c r="ER122" s="94"/>
      <c r="ES122" s="14"/>
      <c r="ET122" s="14"/>
      <c r="EU122" s="14"/>
      <c r="EV122" s="14"/>
      <c r="EW122" s="19"/>
      <c r="EX122" s="96"/>
      <c r="EY122" s="94"/>
      <c r="EZ122" s="94"/>
      <c r="FA122" s="14"/>
      <c r="FB122" s="14"/>
      <c r="FC122" s="14"/>
      <c r="FD122" s="14"/>
      <c r="FE122" s="19"/>
      <c r="FF122" s="96"/>
      <c r="FG122" s="94"/>
      <c r="FH122" s="94"/>
      <c r="FI122" s="14"/>
      <c r="FJ122" s="14"/>
      <c r="FK122" s="14"/>
      <c r="FL122" s="14"/>
      <c r="FM122" s="19"/>
      <c r="FN122" s="96"/>
      <c r="FO122" s="94"/>
      <c r="FP122" s="94"/>
      <c r="FQ122" s="14"/>
      <c r="FR122" s="14"/>
      <c r="FS122" s="14"/>
      <c r="FT122" s="14"/>
      <c r="FU122" s="19"/>
      <c r="FV122" s="96"/>
      <c r="FW122" s="94"/>
      <c r="FX122" s="94"/>
      <c r="FY122" s="14"/>
      <c r="FZ122" s="14"/>
      <c r="GA122" s="14"/>
      <c r="GB122" s="14"/>
      <c r="GC122" s="19"/>
      <c r="GD122" s="96"/>
      <c r="GE122" s="94"/>
      <c r="GF122" s="94"/>
      <c r="GG122" s="14"/>
      <c r="GH122" s="14"/>
      <c r="GI122" s="14"/>
      <c r="GJ122" s="14"/>
      <c r="GK122" s="19"/>
      <c r="GL122" s="96"/>
      <c r="GM122" s="94"/>
      <c r="GN122" s="94"/>
      <c r="GO122" s="14"/>
      <c r="GP122" s="14"/>
      <c r="GQ122" s="14"/>
      <c r="GR122" s="14"/>
      <c r="GS122" s="19"/>
      <c r="GT122" s="96"/>
      <c r="GU122" s="94"/>
      <c r="GV122" s="94"/>
      <c r="GW122" s="14"/>
      <c r="GX122" s="14"/>
      <c r="GY122" s="14"/>
      <c r="GZ122" s="14"/>
      <c r="HA122" s="19"/>
      <c r="HB122" s="96"/>
      <c r="HC122" s="94"/>
      <c r="HD122" s="94"/>
      <c r="HE122" s="14"/>
      <c r="HF122" s="14"/>
      <c r="HG122" s="14"/>
      <c r="HH122" s="14"/>
      <c r="HI122" s="19"/>
      <c r="HJ122" s="96"/>
      <c r="HK122" s="94"/>
      <c r="HL122" s="94"/>
      <c r="HM122" s="14"/>
      <c r="HN122" s="14"/>
      <c r="HO122" s="14"/>
      <c r="HP122" s="14"/>
      <c r="HQ122" s="19"/>
      <c r="HR122" s="96"/>
      <c r="HS122" s="94"/>
      <c r="HT122" s="94"/>
      <c r="HU122" s="14"/>
      <c r="HV122" s="14"/>
      <c r="HW122" s="14"/>
      <c r="HX122" s="14"/>
      <c r="HY122" s="19"/>
      <c r="HZ122" s="96"/>
      <c r="IA122" s="94"/>
      <c r="IB122" s="94"/>
      <c r="IC122" s="14"/>
      <c r="ID122" s="14"/>
      <c r="IE122" s="14"/>
      <c r="IF122" s="14"/>
      <c r="IG122" s="19"/>
      <c r="IH122" s="96"/>
      <c r="II122" s="94"/>
      <c r="IJ122" s="94"/>
      <c r="IK122" s="14"/>
      <c r="IL122" s="14"/>
      <c r="IM122" s="14"/>
      <c r="IN122" s="14"/>
    </row>
    <row r="123" spans="1:248" s="13" customFormat="1" ht="12.75" customHeight="1">
      <c r="A123" s="49"/>
      <c r="B123" s="3" t="s">
        <v>371</v>
      </c>
      <c r="C123" s="35" t="s">
        <v>48</v>
      </c>
      <c r="D123" s="37">
        <v>52</v>
      </c>
      <c r="E123" s="37">
        <v>1</v>
      </c>
      <c r="F123" s="37">
        <v>1</v>
      </c>
      <c r="G123" s="77">
        <f t="shared" si="4"/>
        <v>52</v>
      </c>
      <c r="H123" s="104">
        <v>1716</v>
      </c>
      <c r="I123" s="37" t="s">
        <v>411</v>
      </c>
      <c r="L123" s="96"/>
      <c r="M123" s="94"/>
      <c r="N123" s="14"/>
      <c r="O123" s="14"/>
      <c r="P123" s="14"/>
      <c r="Q123" s="19"/>
      <c r="R123" s="96"/>
      <c r="S123" s="94"/>
      <c r="T123" s="94"/>
      <c r="U123" s="14"/>
      <c r="V123" s="14"/>
      <c r="W123" s="14"/>
      <c r="X123" s="14"/>
      <c r="Y123" s="19"/>
      <c r="Z123" s="96"/>
      <c r="AA123" s="94"/>
      <c r="AB123" s="94"/>
      <c r="AC123" s="14"/>
      <c r="AD123" s="14"/>
      <c r="AE123" s="14"/>
      <c r="AF123" s="14"/>
      <c r="AG123" s="19"/>
      <c r="AH123" s="96"/>
      <c r="AI123" s="94"/>
      <c r="AJ123" s="94"/>
      <c r="AK123" s="14"/>
      <c r="AL123" s="14"/>
      <c r="AM123" s="14"/>
      <c r="AN123" s="14"/>
      <c r="AO123" s="19"/>
      <c r="AP123" s="96"/>
      <c r="AQ123" s="94"/>
      <c r="AR123" s="94"/>
      <c r="AS123" s="14"/>
      <c r="AT123" s="14"/>
      <c r="AU123" s="14"/>
      <c r="AV123" s="14"/>
      <c r="AW123" s="19"/>
      <c r="AX123" s="96"/>
      <c r="AY123" s="94"/>
      <c r="AZ123" s="94"/>
      <c r="BA123" s="14"/>
      <c r="BB123" s="14"/>
      <c r="BC123" s="14"/>
      <c r="BD123" s="14"/>
      <c r="BE123" s="19"/>
      <c r="BF123" s="96"/>
      <c r="BG123" s="94"/>
      <c r="BH123" s="94"/>
      <c r="BI123" s="14"/>
      <c r="BJ123" s="14"/>
      <c r="BK123" s="14"/>
      <c r="BL123" s="14"/>
      <c r="BM123" s="19"/>
      <c r="BN123" s="96"/>
      <c r="BO123" s="94"/>
      <c r="BP123" s="94"/>
      <c r="BQ123" s="14"/>
      <c r="BR123" s="14"/>
      <c r="BS123" s="14"/>
      <c r="BT123" s="14"/>
      <c r="BU123" s="19"/>
      <c r="BV123" s="96"/>
      <c r="BW123" s="94"/>
      <c r="BX123" s="94"/>
      <c r="BY123" s="14"/>
      <c r="BZ123" s="14"/>
      <c r="CA123" s="14"/>
      <c r="CB123" s="14"/>
      <c r="CC123" s="19"/>
      <c r="CD123" s="96"/>
      <c r="CE123" s="94"/>
      <c r="CF123" s="94"/>
      <c r="CG123" s="14"/>
      <c r="CH123" s="14"/>
      <c r="CI123" s="14"/>
      <c r="CJ123" s="14"/>
      <c r="CK123" s="19"/>
      <c r="CL123" s="96"/>
      <c r="CM123" s="94"/>
      <c r="CN123" s="94"/>
      <c r="CO123" s="14"/>
      <c r="CP123" s="14"/>
      <c r="CQ123" s="14"/>
      <c r="CR123" s="14"/>
      <c r="CS123" s="19"/>
      <c r="CT123" s="96"/>
      <c r="CU123" s="94"/>
      <c r="CV123" s="94"/>
      <c r="CW123" s="14"/>
      <c r="CX123" s="14"/>
      <c r="CY123" s="14"/>
      <c r="CZ123" s="14"/>
      <c r="DA123" s="19"/>
      <c r="DB123" s="96"/>
      <c r="DC123" s="94"/>
      <c r="DD123" s="94"/>
      <c r="DE123" s="14"/>
      <c r="DF123" s="14"/>
      <c r="DG123" s="14"/>
      <c r="DH123" s="14"/>
      <c r="DI123" s="19"/>
      <c r="DJ123" s="96"/>
      <c r="DK123" s="94"/>
      <c r="DL123" s="94"/>
      <c r="DM123" s="14"/>
      <c r="DN123" s="14"/>
      <c r="DO123" s="14"/>
      <c r="DP123" s="14"/>
      <c r="DQ123" s="19"/>
      <c r="DR123" s="96"/>
      <c r="DS123" s="94"/>
      <c r="DT123" s="94"/>
      <c r="DU123" s="14"/>
      <c r="DV123" s="14"/>
      <c r="DW123" s="14"/>
      <c r="DX123" s="14"/>
      <c r="DY123" s="19"/>
      <c r="DZ123" s="96"/>
      <c r="EA123" s="94"/>
      <c r="EB123" s="94"/>
      <c r="EC123" s="14"/>
      <c r="ED123" s="14"/>
      <c r="EE123" s="14"/>
      <c r="EF123" s="14"/>
      <c r="EG123" s="19"/>
      <c r="EH123" s="96"/>
      <c r="EI123" s="94"/>
      <c r="EJ123" s="94"/>
      <c r="EK123" s="14"/>
      <c r="EL123" s="14"/>
      <c r="EM123" s="14"/>
      <c r="EN123" s="14"/>
      <c r="EO123" s="19"/>
      <c r="EP123" s="96"/>
      <c r="EQ123" s="94"/>
      <c r="ER123" s="94"/>
      <c r="ES123" s="14"/>
      <c r="ET123" s="14"/>
      <c r="EU123" s="14"/>
      <c r="EV123" s="14"/>
      <c r="EW123" s="19"/>
      <c r="EX123" s="96"/>
      <c r="EY123" s="94"/>
      <c r="EZ123" s="94"/>
      <c r="FA123" s="14"/>
      <c r="FB123" s="14"/>
      <c r="FC123" s="14"/>
      <c r="FD123" s="14"/>
      <c r="FE123" s="19"/>
      <c r="FF123" s="96"/>
      <c r="FG123" s="94"/>
      <c r="FH123" s="94"/>
      <c r="FI123" s="14"/>
      <c r="FJ123" s="14"/>
      <c r="FK123" s="14"/>
      <c r="FL123" s="14"/>
      <c r="FM123" s="19"/>
      <c r="FN123" s="96"/>
      <c r="FO123" s="94"/>
      <c r="FP123" s="94"/>
      <c r="FQ123" s="14"/>
      <c r="FR123" s="14"/>
      <c r="FS123" s="14"/>
      <c r="FT123" s="14"/>
      <c r="FU123" s="19"/>
      <c r="FV123" s="96"/>
      <c r="FW123" s="94"/>
      <c r="FX123" s="94"/>
      <c r="FY123" s="14"/>
      <c r="FZ123" s="14"/>
      <c r="GA123" s="14"/>
      <c r="GB123" s="14"/>
      <c r="GC123" s="19"/>
      <c r="GD123" s="96"/>
      <c r="GE123" s="94"/>
      <c r="GF123" s="94"/>
      <c r="GG123" s="14"/>
      <c r="GH123" s="14"/>
      <c r="GI123" s="14"/>
      <c r="GJ123" s="14"/>
      <c r="GK123" s="19"/>
      <c r="GL123" s="96"/>
      <c r="GM123" s="94"/>
      <c r="GN123" s="94"/>
      <c r="GO123" s="14"/>
      <c r="GP123" s="14"/>
      <c r="GQ123" s="14"/>
      <c r="GR123" s="14"/>
      <c r="GS123" s="19"/>
      <c r="GT123" s="96"/>
      <c r="GU123" s="94"/>
      <c r="GV123" s="94"/>
      <c r="GW123" s="14"/>
      <c r="GX123" s="14"/>
      <c r="GY123" s="14"/>
      <c r="GZ123" s="14"/>
      <c r="HA123" s="19"/>
      <c r="HB123" s="96"/>
      <c r="HC123" s="94"/>
      <c r="HD123" s="94"/>
      <c r="HE123" s="14"/>
      <c r="HF123" s="14"/>
      <c r="HG123" s="14"/>
      <c r="HH123" s="14"/>
      <c r="HI123" s="19"/>
      <c r="HJ123" s="96"/>
      <c r="HK123" s="94"/>
      <c r="HL123" s="94"/>
      <c r="HM123" s="14"/>
      <c r="HN123" s="14"/>
      <c r="HO123" s="14"/>
      <c r="HP123" s="14"/>
      <c r="HQ123" s="19"/>
      <c r="HR123" s="96"/>
      <c r="HS123" s="94"/>
      <c r="HT123" s="94"/>
      <c r="HU123" s="14"/>
      <c r="HV123" s="14"/>
      <c r="HW123" s="14"/>
      <c r="HX123" s="14"/>
      <c r="HY123" s="19"/>
      <c r="HZ123" s="96"/>
      <c r="IA123" s="94"/>
      <c r="IB123" s="94"/>
      <c r="IC123" s="14"/>
      <c r="ID123" s="14"/>
      <c r="IE123" s="14"/>
      <c r="IF123" s="14"/>
      <c r="IG123" s="19"/>
      <c r="IH123" s="96"/>
      <c r="II123" s="94"/>
      <c r="IJ123" s="94"/>
      <c r="IK123" s="14"/>
      <c r="IL123" s="14"/>
      <c r="IM123" s="14"/>
      <c r="IN123" s="14"/>
    </row>
    <row r="124" spans="1:248" s="13" customFormat="1" ht="12.75">
      <c r="A124" s="49"/>
      <c r="B124" s="3" t="s">
        <v>231</v>
      </c>
      <c r="C124" s="35" t="s">
        <v>48</v>
      </c>
      <c r="D124" s="35">
        <v>102</v>
      </c>
      <c r="E124" s="37">
        <v>1</v>
      </c>
      <c r="F124" s="37">
        <v>1</v>
      </c>
      <c r="G124" s="77">
        <f t="shared" si="4"/>
        <v>102</v>
      </c>
      <c r="H124" s="104">
        <v>15306</v>
      </c>
      <c r="I124" s="35" t="s">
        <v>412</v>
      </c>
      <c r="L124" s="96"/>
      <c r="M124" s="94"/>
      <c r="N124" s="14"/>
      <c r="O124" s="14"/>
      <c r="P124" s="14"/>
      <c r="Q124" s="19"/>
      <c r="R124" s="96"/>
      <c r="S124" s="94"/>
      <c r="T124" s="94"/>
      <c r="U124" s="14"/>
      <c r="V124" s="14"/>
      <c r="W124" s="14"/>
      <c r="X124" s="14"/>
      <c r="Y124" s="19"/>
      <c r="Z124" s="96"/>
      <c r="AA124" s="94"/>
      <c r="AB124" s="94"/>
      <c r="AC124" s="14"/>
      <c r="AD124" s="14"/>
      <c r="AE124" s="14"/>
      <c r="AF124" s="14"/>
      <c r="AG124" s="19"/>
      <c r="AH124" s="96"/>
      <c r="AI124" s="94"/>
      <c r="AJ124" s="94"/>
      <c r="AK124" s="14"/>
      <c r="AL124" s="14"/>
      <c r="AM124" s="14"/>
      <c r="AN124" s="14"/>
      <c r="AO124" s="19"/>
      <c r="AP124" s="96"/>
      <c r="AQ124" s="94"/>
      <c r="AR124" s="94"/>
      <c r="AS124" s="14"/>
      <c r="AT124" s="14"/>
      <c r="AU124" s="14"/>
      <c r="AV124" s="14"/>
      <c r="AW124" s="19"/>
      <c r="AX124" s="96"/>
      <c r="AY124" s="94"/>
      <c r="AZ124" s="94"/>
      <c r="BA124" s="14"/>
      <c r="BB124" s="14"/>
      <c r="BC124" s="14"/>
      <c r="BD124" s="14"/>
      <c r="BE124" s="19"/>
      <c r="BF124" s="96"/>
      <c r="BG124" s="94"/>
      <c r="BH124" s="94"/>
      <c r="BI124" s="14"/>
      <c r="BJ124" s="14"/>
      <c r="BK124" s="14"/>
      <c r="BL124" s="14"/>
      <c r="BM124" s="19"/>
      <c r="BN124" s="96"/>
      <c r="BO124" s="94"/>
      <c r="BP124" s="94"/>
      <c r="BQ124" s="14"/>
      <c r="BR124" s="14"/>
      <c r="BS124" s="14"/>
      <c r="BT124" s="14"/>
      <c r="BU124" s="19"/>
      <c r="BV124" s="96"/>
      <c r="BW124" s="94"/>
      <c r="BX124" s="94"/>
      <c r="BY124" s="14"/>
      <c r="BZ124" s="14"/>
      <c r="CA124" s="14"/>
      <c r="CB124" s="14"/>
      <c r="CC124" s="19"/>
      <c r="CD124" s="96"/>
      <c r="CE124" s="94"/>
      <c r="CF124" s="94"/>
      <c r="CG124" s="14"/>
      <c r="CH124" s="14"/>
      <c r="CI124" s="14"/>
      <c r="CJ124" s="14"/>
      <c r="CK124" s="19"/>
      <c r="CL124" s="96"/>
      <c r="CM124" s="94"/>
      <c r="CN124" s="94"/>
      <c r="CO124" s="14"/>
      <c r="CP124" s="14"/>
      <c r="CQ124" s="14"/>
      <c r="CR124" s="14"/>
      <c r="CS124" s="19"/>
      <c r="CT124" s="96"/>
      <c r="CU124" s="94"/>
      <c r="CV124" s="94"/>
      <c r="CW124" s="14"/>
      <c r="CX124" s="14"/>
      <c r="CY124" s="14"/>
      <c r="CZ124" s="14"/>
      <c r="DA124" s="19"/>
      <c r="DB124" s="96"/>
      <c r="DC124" s="94"/>
      <c r="DD124" s="94"/>
      <c r="DE124" s="14"/>
      <c r="DF124" s="14"/>
      <c r="DG124" s="14"/>
      <c r="DH124" s="14"/>
      <c r="DI124" s="19"/>
      <c r="DJ124" s="96"/>
      <c r="DK124" s="94"/>
      <c r="DL124" s="94"/>
      <c r="DM124" s="14"/>
      <c r="DN124" s="14"/>
      <c r="DO124" s="14"/>
      <c r="DP124" s="14"/>
      <c r="DQ124" s="19"/>
      <c r="DR124" s="96"/>
      <c r="DS124" s="94"/>
      <c r="DT124" s="94"/>
      <c r="DU124" s="14"/>
      <c r="DV124" s="14"/>
      <c r="DW124" s="14"/>
      <c r="DX124" s="14"/>
      <c r="DY124" s="19"/>
      <c r="DZ124" s="96"/>
      <c r="EA124" s="94"/>
      <c r="EB124" s="94"/>
      <c r="EC124" s="14"/>
      <c r="ED124" s="14"/>
      <c r="EE124" s="14"/>
      <c r="EF124" s="14"/>
      <c r="EG124" s="19"/>
      <c r="EH124" s="96"/>
      <c r="EI124" s="94"/>
      <c r="EJ124" s="94"/>
      <c r="EK124" s="14"/>
      <c r="EL124" s="14"/>
      <c r="EM124" s="14"/>
      <c r="EN124" s="14"/>
      <c r="EO124" s="19"/>
      <c r="EP124" s="96"/>
      <c r="EQ124" s="94"/>
      <c r="ER124" s="94"/>
      <c r="ES124" s="14"/>
      <c r="ET124" s="14"/>
      <c r="EU124" s="14"/>
      <c r="EV124" s="14"/>
      <c r="EW124" s="19"/>
      <c r="EX124" s="96"/>
      <c r="EY124" s="94"/>
      <c r="EZ124" s="94"/>
      <c r="FA124" s="14"/>
      <c r="FB124" s="14"/>
      <c r="FC124" s="14"/>
      <c r="FD124" s="14"/>
      <c r="FE124" s="19"/>
      <c r="FF124" s="96"/>
      <c r="FG124" s="94"/>
      <c r="FH124" s="94"/>
      <c r="FI124" s="14"/>
      <c r="FJ124" s="14"/>
      <c r="FK124" s="14"/>
      <c r="FL124" s="14"/>
      <c r="FM124" s="19"/>
      <c r="FN124" s="96"/>
      <c r="FO124" s="94"/>
      <c r="FP124" s="94"/>
      <c r="FQ124" s="14"/>
      <c r="FR124" s="14"/>
      <c r="FS124" s="14"/>
      <c r="FT124" s="14"/>
      <c r="FU124" s="19"/>
      <c r="FV124" s="96"/>
      <c r="FW124" s="94"/>
      <c r="FX124" s="94"/>
      <c r="FY124" s="14"/>
      <c r="FZ124" s="14"/>
      <c r="GA124" s="14"/>
      <c r="GB124" s="14"/>
      <c r="GC124" s="19"/>
      <c r="GD124" s="96"/>
      <c r="GE124" s="94"/>
      <c r="GF124" s="94"/>
      <c r="GG124" s="14"/>
      <c r="GH124" s="14"/>
      <c r="GI124" s="14"/>
      <c r="GJ124" s="14"/>
      <c r="GK124" s="19"/>
      <c r="GL124" s="96"/>
      <c r="GM124" s="94"/>
      <c r="GN124" s="94"/>
      <c r="GO124" s="14"/>
      <c r="GP124" s="14"/>
      <c r="GQ124" s="14"/>
      <c r="GR124" s="14"/>
      <c r="GS124" s="19"/>
      <c r="GT124" s="96"/>
      <c r="GU124" s="94"/>
      <c r="GV124" s="94"/>
      <c r="GW124" s="14"/>
      <c r="GX124" s="14"/>
      <c r="GY124" s="14"/>
      <c r="GZ124" s="14"/>
      <c r="HA124" s="19"/>
      <c r="HB124" s="96"/>
      <c r="HC124" s="94"/>
      <c r="HD124" s="94"/>
      <c r="HE124" s="14"/>
      <c r="HF124" s="14"/>
      <c r="HG124" s="14"/>
      <c r="HH124" s="14"/>
      <c r="HI124" s="19"/>
      <c r="HJ124" s="96"/>
      <c r="HK124" s="94"/>
      <c r="HL124" s="94"/>
      <c r="HM124" s="14"/>
      <c r="HN124" s="14"/>
      <c r="HO124" s="14"/>
      <c r="HP124" s="14"/>
      <c r="HQ124" s="19"/>
      <c r="HR124" s="96"/>
      <c r="HS124" s="94"/>
      <c r="HT124" s="94"/>
      <c r="HU124" s="14"/>
      <c r="HV124" s="14"/>
      <c r="HW124" s="14"/>
      <c r="HX124" s="14"/>
      <c r="HY124" s="19"/>
      <c r="HZ124" s="96"/>
      <c r="IA124" s="94"/>
      <c r="IB124" s="94"/>
      <c r="IC124" s="14"/>
      <c r="ID124" s="14"/>
      <c r="IE124" s="14"/>
      <c r="IF124" s="14"/>
      <c r="IG124" s="19"/>
      <c r="IH124" s="96"/>
      <c r="II124" s="94"/>
      <c r="IJ124" s="94"/>
      <c r="IK124" s="14"/>
      <c r="IL124" s="14"/>
      <c r="IM124" s="14"/>
      <c r="IN124" s="14"/>
    </row>
    <row r="125" spans="1:248" s="13" customFormat="1" ht="15" customHeight="1">
      <c r="A125" s="49"/>
      <c r="B125" s="3" t="s">
        <v>232</v>
      </c>
      <c r="C125" s="35" t="s">
        <v>48</v>
      </c>
      <c r="D125" s="35">
        <v>213</v>
      </c>
      <c r="E125" s="37">
        <v>1</v>
      </c>
      <c r="F125" s="37">
        <v>1</v>
      </c>
      <c r="G125" s="77">
        <f t="shared" si="4"/>
        <v>213</v>
      </c>
      <c r="H125" s="104">
        <v>6345</v>
      </c>
      <c r="I125" s="35" t="s">
        <v>413</v>
      </c>
      <c r="L125" s="96"/>
      <c r="M125" s="94"/>
      <c r="N125" s="14"/>
      <c r="O125" s="14"/>
      <c r="P125" s="14"/>
      <c r="Q125" s="19"/>
      <c r="R125" s="96"/>
      <c r="S125" s="94"/>
      <c r="T125" s="94"/>
      <c r="U125" s="14"/>
      <c r="V125" s="14"/>
      <c r="W125" s="14"/>
      <c r="X125" s="14"/>
      <c r="Y125" s="19"/>
      <c r="Z125" s="96"/>
      <c r="AA125" s="94"/>
      <c r="AB125" s="94"/>
      <c r="AC125" s="14"/>
      <c r="AD125" s="14"/>
      <c r="AE125" s="14"/>
      <c r="AF125" s="14"/>
      <c r="AG125" s="19"/>
      <c r="AH125" s="96"/>
      <c r="AI125" s="94"/>
      <c r="AJ125" s="94"/>
      <c r="AK125" s="14"/>
      <c r="AL125" s="14"/>
      <c r="AM125" s="14"/>
      <c r="AN125" s="14"/>
      <c r="AO125" s="19"/>
      <c r="AP125" s="96"/>
      <c r="AQ125" s="94"/>
      <c r="AR125" s="94"/>
      <c r="AS125" s="14"/>
      <c r="AT125" s="14"/>
      <c r="AU125" s="14"/>
      <c r="AV125" s="14"/>
      <c r="AW125" s="19"/>
      <c r="AX125" s="96"/>
      <c r="AY125" s="94"/>
      <c r="AZ125" s="94"/>
      <c r="BA125" s="14"/>
      <c r="BB125" s="14"/>
      <c r="BC125" s="14"/>
      <c r="BD125" s="14"/>
      <c r="BE125" s="19"/>
      <c r="BF125" s="96"/>
      <c r="BG125" s="94"/>
      <c r="BH125" s="94"/>
      <c r="BI125" s="14"/>
      <c r="BJ125" s="14"/>
      <c r="BK125" s="14"/>
      <c r="BL125" s="14"/>
      <c r="BM125" s="19"/>
      <c r="BN125" s="96"/>
      <c r="BO125" s="94"/>
      <c r="BP125" s="94"/>
      <c r="BQ125" s="14"/>
      <c r="BR125" s="14"/>
      <c r="BS125" s="14"/>
      <c r="BT125" s="14"/>
      <c r="BU125" s="19"/>
      <c r="BV125" s="96"/>
      <c r="BW125" s="94"/>
      <c r="BX125" s="94"/>
      <c r="BY125" s="14"/>
      <c r="BZ125" s="14"/>
      <c r="CA125" s="14"/>
      <c r="CB125" s="14"/>
      <c r="CC125" s="19"/>
      <c r="CD125" s="96"/>
      <c r="CE125" s="94"/>
      <c r="CF125" s="94"/>
      <c r="CG125" s="14"/>
      <c r="CH125" s="14"/>
      <c r="CI125" s="14"/>
      <c r="CJ125" s="14"/>
      <c r="CK125" s="19"/>
      <c r="CL125" s="96"/>
      <c r="CM125" s="94"/>
      <c r="CN125" s="94"/>
      <c r="CO125" s="14"/>
      <c r="CP125" s="14"/>
      <c r="CQ125" s="14"/>
      <c r="CR125" s="14"/>
      <c r="CS125" s="19"/>
      <c r="CT125" s="96"/>
      <c r="CU125" s="94"/>
      <c r="CV125" s="94"/>
      <c r="CW125" s="14"/>
      <c r="CX125" s="14"/>
      <c r="CY125" s="14"/>
      <c r="CZ125" s="14"/>
      <c r="DA125" s="19"/>
      <c r="DB125" s="96"/>
      <c r="DC125" s="94"/>
      <c r="DD125" s="94"/>
      <c r="DE125" s="14"/>
      <c r="DF125" s="14"/>
      <c r="DG125" s="14"/>
      <c r="DH125" s="14"/>
      <c r="DI125" s="19"/>
      <c r="DJ125" s="96"/>
      <c r="DK125" s="94"/>
      <c r="DL125" s="94"/>
      <c r="DM125" s="14"/>
      <c r="DN125" s="14"/>
      <c r="DO125" s="14"/>
      <c r="DP125" s="14"/>
      <c r="DQ125" s="19"/>
      <c r="DR125" s="96"/>
      <c r="DS125" s="94"/>
      <c r="DT125" s="94"/>
      <c r="DU125" s="14"/>
      <c r="DV125" s="14"/>
      <c r="DW125" s="14"/>
      <c r="DX125" s="14"/>
      <c r="DY125" s="19"/>
      <c r="DZ125" s="96"/>
      <c r="EA125" s="94"/>
      <c r="EB125" s="94"/>
      <c r="EC125" s="14"/>
      <c r="ED125" s="14"/>
      <c r="EE125" s="14"/>
      <c r="EF125" s="14"/>
      <c r="EG125" s="19"/>
      <c r="EH125" s="96"/>
      <c r="EI125" s="94"/>
      <c r="EJ125" s="94"/>
      <c r="EK125" s="14"/>
      <c r="EL125" s="14"/>
      <c r="EM125" s="14"/>
      <c r="EN125" s="14"/>
      <c r="EO125" s="19"/>
      <c r="EP125" s="96"/>
      <c r="EQ125" s="94"/>
      <c r="ER125" s="94"/>
      <c r="ES125" s="14"/>
      <c r="ET125" s="14"/>
      <c r="EU125" s="14"/>
      <c r="EV125" s="14"/>
      <c r="EW125" s="19"/>
      <c r="EX125" s="96"/>
      <c r="EY125" s="94"/>
      <c r="EZ125" s="94"/>
      <c r="FA125" s="14"/>
      <c r="FB125" s="14"/>
      <c r="FC125" s="14"/>
      <c r="FD125" s="14"/>
      <c r="FE125" s="19"/>
      <c r="FF125" s="96"/>
      <c r="FG125" s="94"/>
      <c r="FH125" s="94"/>
      <c r="FI125" s="14"/>
      <c r="FJ125" s="14"/>
      <c r="FK125" s="14"/>
      <c r="FL125" s="14"/>
      <c r="FM125" s="19"/>
      <c r="FN125" s="96"/>
      <c r="FO125" s="94"/>
      <c r="FP125" s="94"/>
      <c r="FQ125" s="14"/>
      <c r="FR125" s="14"/>
      <c r="FS125" s="14"/>
      <c r="FT125" s="14"/>
      <c r="FU125" s="19"/>
      <c r="FV125" s="96"/>
      <c r="FW125" s="94"/>
      <c r="FX125" s="94"/>
      <c r="FY125" s="14"/>
      <c r="FZ125" s="14"/>
      <c r="GA125" s="14"/>
      <c r="GB125" s="14"/>
      <c r="GC125" s="19"/>
      <c r="GD125" s="96"/>
      <c r="GE125" s="94"/>
      <c r="GF125" s="94"/>
      <c r="GG125" s="14"/>
      <c r="GH125" s="14"/>
      <c r="GI125" s="14"/>
      <c r="GJ125" s="14"/>
      <c r="GK125" s="19"/>
      <c r="GL125" s="96"/>
      <c r="GM125" s="94"/>
      <c r="GN125" s="94"/>
      <c r="GO125" s="14"/>
      <c r="GP125" s="14"/>
      <c r="GQ125" s="14"/>
      <c r="GR125" s="14"/>
      <c r="GS125" s="19"/>
      <c r="GT125" s="96"/>
      <c r="GU125" s="94"/>
      <c r="GV125" s="94"/>
      <c r="GW125" s="14"/>
      <c r="GX125" s="14"/>
      <c r="GY125" s="14"/>
      <c r="GZ125" s="14"/>
      <c r="HA125" s="19"/>
      <c r="HB125" s="96"/>
      <c r="HC125" s="94"/>
      <c r="HD125" s="94"/>
      <c r="HE125" s="14"/>
      <c r="HF125" s="14"/>
      <c r="HG125" s="14"/>
      <c r="HH125" s="14"/>
      <c r="HI125" s="19"/>
      <c r="HJ125" s="96"/>
      <c r="HK125" s="94"/>
      <c r="HL125" s="94"/>
      <c r="HM125" s="14"/>
      <c r="HN125" s="14"/>
      <c r="HO125" s="14"/>
      <c r="HP125" s="14"/>
      <c r="HQ125" s="19"/>
      <c r="HR125" s="96"/>
      <c r="HS125" s="94"/>
      <c r="HT125" s="94"/>
      <c r="HU125" s="14"/>
      <c r="HV125" s="14"/>
      <c r="HW125" s="14"/>
      <c r="HX125" s="14"/>
      <c r="HY125" s="19"/>
      <c r="HZ125" s="96"/>
      <c r="IA125" s="94"/>
      <c r="IB125" s="94"/>
      <c r="IC125" s="14"/>
      <c r="ID125" s="14"/>
      <c r="IE125" s="14"/>
      <c r="IF125" s="14"/>
      <c r="IG125" s="19"/>
      <c r="IH125" s="96"/>
      <c r="II125" s="94"/>
      <c r="IJ125" s="94"/>
      <c r="IK125" s="14"/>
      <c r="IL125" s="14"/>
      <c r="IM125" s="14"/>
      <c r="IN125" s="14"/>
    </row>
    <row r="126" spans="1:248" s="13" customFormat="1" ht="12.75">
      <c r="A126" s="49"/>
      <c r="B126" s="3" t="s">
        <v>375</v>
      </c>
      <c r="C126" s="35" t="s">
        <v>48</v>
      </c>
      <c r="D126" s="35">
        <v>41</v>
      </c>
      <c r="E126" s="37">
        <v>1</v>
      </c>
      <c r="F126" s="37">
        <v>1</v>
      </c>
      <c r="G126" s="77">
        <f t="shared" si="4"/>
        <v>41</v>
      </c>
      <c r="H126" s="104">
        <v>4803</v>
      </c>
      <c r="I126" s="35" t="s">
        <v>414</v>
      </c>
      <c r="L126" s="96"/>
      <c r="M126" s="94"/>
      <c r="N126" s="14"/>
      <c r="O126" s="14"/>
      <c r="P126" s="14"/>
      <c r="Q126" s="19"/>
      <c r="R126" s="96"/>
      <c r="S126" s="94"/>
      <c r="T126" s="94"/>
      <c r="U126" s="14"/>
      <c r="V126" s="14"/>
      <c r="W126" s="14"/>
      <c r="X126" s="14"/>
      <c r="Y126" s="19"/>
      <c r="Z126" s="96"/>
      <c r="AA126" s="94"/>
      <c r="AB126" s="94"/>
      <c r="AC126" s="14"/>
      <c r="AD126" s="14"/>
      <c r="AE126" s="14"/>
      <c r="AF126" s="14"/>
      <c r="AG126" s="19"/>
      <c r="AH126" s="96"/>
      <c r="AI126" s="94"/>
      <c r="AJ126" s="94"/>
      <c r="AK126" s="14"/>
      <c r="AL126" s="14"/>
      <c r="AM126" s="14"/>
      <c r="AN126" s="14"/>
      <c r="AO126" s="19"/>
      <c r="AP126" s="96"/>
      <c r="AQ126" s="94"/>
      <c r="AR126" s="94"/>
      <c r="AS126" s="14"/>
      <c r="AT126" s="14"/>
      <c r="AU126" s="14"/>
      <c r="AV126" s="14"/>
      <c r="AW126" s="19"/>
      <c r="AX126" s="96"/>
      <c r="AY126" s="94"/>
      <c r="AZ126" s="94"/>
      <c r="BA126" s="14"/>
      <c r="BB126" s="14"/>
      <c r="BC126" s="14"/>
      <c r="BD126" s="14"/>
      <c r="BE126" s="19"/>
      <c r="BF126" s="96"/>
      <c r="BG126" s="94"/>
      <c r="BH126" s="94"/>
      <c r="BI126" s="14"/>
      <c r="BJ126" s="14"/>
      <c r="BK126" s="14"/>
      <c r="BL126" s="14"/>
      <c r="BM126" s="19"/>
      <c r="BN126" s="96"/>
      <c r="BO126" s="94"/>
      <c r="BP126" s="94"/>
      <c r="BQ126" s="14"/>
      <c r="BR126" s="14"/>
      <c r="BS126" s="14"/>
      <c r="BT126" s="14"/>
      <c r="BU126" s="19"/>
      <c r="BV126" s="96"/>
      <c r="BW126" s="94"/>
      <c r="BX126" s="94"/>
      <c r="BY126" s="14"/>
      <c r="BZ126" s="14"/>
      <c r="CA126" s="14"/>
      <c r="CB126" s="14"/>
      <c r="CC126" s="19"/>
      <c r="CD126" s="96"/>
      <c r="CE126" s="94"/>
      <c r="CF126" s="94"/>
      <c r="CG126" s="14"/>
      <c r="CH126" s="14"/>
      <c r="CI126" s="14"/>
      <c r="CJ126" s="14"/>
      <c r="CK126" s="19"/>
      <c r="CL126" s="96"/>
      <c r="CM126" s="94"/>
      <c r="CN126" s="94"/>
      <c r="CO126" s="14"/>
      <c r="CP126" s="14"/>
      <c r="CQ126" s="14"/>
      <c r="CR126" s="14"/>
      <c r="CS126" s="19"/>
      <c r="CT126" s="96"/>
      <c r="CU126" s="94"/>
      <c r="CV126" s="94"/>
      <c r="CW126" s="14"/>
      <c r="CX126" s="14"/>
      <c r="CY126" s="14"/>
      <c r="CZ126" s="14"/>
      <c r="DA126" s="19"/>
      <c r="DB126" s="96"/>
      <c r="DC126" s="94"/>
      <c r="DD126" s="94"/>
      <c r="DE126" s="14"/>
      <c r="DF126" s="14"/>
      <c r="DG126" s="14"/>
      <c r="DH126" s="14"/>
      <c r="DI126" s="19"/>
      <c r="DJ126" s="96"/>
      <c r="DK126" s="94"/>
      <c r="DL126" s="94"/>
      <c r="DM126" s="14"/>
      <c r="DN126" s="14"/>
      <c r="DO126" s="14"/>
      <c r="DP126" s="14"/>
      <c r="DQ126" s="19"/>
      <c r="DR126" s="96"/>
      <c r="DS126" s="94"/>
      <c r="DT126" s="94"/>
      <c r="DU126" s="14"/>
      <c r="DV126" s="14"/>
      <c r="DW126" s="14"/>
      <c r="DX126" s="14"/>
      <c r="DY126" s="19"/>
      <c r="DZ126" s="96"/>
      <c r="EA126" s="94"/>
      <c r="EB126" s="94"/>
      <c r="EC126" s="14"/>
      <c r="ED126" s="14"/>
      <c r="EE126" s="14"/>
      <c r="EF126" s="14"/>
      <c r="EG126" s="19"/>
      <c r="EH126" s="96"/>
      <c r="EI126" s="94"/>
      <c r="EJ126" s="94"/>
      <c r="EK126" s="14"/>
      <c r="EL126" s="14"/>
      <c r="EM126" s="14"/>
      <c r="EN126" s="14"/>
      <c r="EO126" s="19"/>
      <c r="EP126" s="96"/>
      <c r="EQ126" s="94"/>
      <c r="ER126" s="94"/>
      <c r="ES126" s="14"/>
      <c r="ET126" s="14"/>
      <c r="EU126" s="14"/>
      <c r="EV126" s="14"/>
      <c r="EW126" s="19"/>
      <c r="EX126" s="96"/>
      <c r="EY126" s="94"/>
      <c r="EZ126" s="94"/>
      <c r="FA126" s="14"/>
      <c r="FB126" s="14"/>
      <c r="FC126" s="14"/>
      <c r="FD126" s="14"/>
      <c r="FE126" s="19"/>
      <c r="FF126" s="96"/>
      <c r="FG126" s="94"/>
      <c r="FH126" s="94"/>
      <c r="FI126" s="14"/>
      <c r="FJ126" s="14"/>
      <c r="FK126" s="14"/>
      <c r="FL126" s="14"/>
      <c r="FM126" s="19"/>
      <c r="FN126" s="96"/>
      <c r="FO126" s="94"/>
      <c r="FP126" s="94"/>
      <c r="FQ126" s="14"/>
      <c r="FR126" s="14"/>
      <c r="FS126" s="14"/>
      <c r="FT126" s="14"/>
      <c r="FU126" s="19"/>
      <c r="FV126" s="96"/>
      <c r="FW126" s="94"/>
      <c r="FX126" s="94"/>
      <c r="FY126" s="14"/>
      <c r="FZ126" s="14"/>
      <c r="GA126" s="14"/>
      <c r="GB126" s="14"/>
      <c r="GC126" s="19"/>
      <c r="GD126" s="96"/>
      <c r="GE126" s="94"/>
      <c r="GF126" s="94"/>
      <c r="GG126" s="14"/>
      <c r="GH126" s="14"/>
      <c r="GI126" s="14"/>
      <c r="GJ126" s="14"/>
      <c r="GK126" s="19"/>
      <c r="GL126" s="96"/>
      <c r="GM126" s="94"/>
      <c r="GN126" s="94"/>
      <c r="GO126" s="14"/>
      <c r="GP126" s="14"/>
      <c r="GQ126" s="14"/>
      <c r="GR126" s="14"/>
      <c r="GS126" s="19"/>
      <c r="GT126" s="96"/>
      <c r="GU126" s="94"/>
      <c r="GV126" s="94"/>
      <c r="GW126" s="14"/>
      <c r="GX126" s="14"/>
      <c r="GY126" s="14"/>
      <c r="GZ126" s="14"/>
      <c r="HA126" s="19"/>
      <c r="HB126" s="96"/>
      <c r="HC126" s="94"/>
      <c r="HD126" s="94"/>
      <c r="HE126" s="14"/>
      <c r="HF126" s="14"/>
      <c r="HG126" s="14"/>
      <c r="HH126" s="14"/>
      <c r="HI126" s="19"/>
      <c r="HJ126" s="96"/>
      <c r="HK126" s="94"/>
      <c r="HL126" s="94"/>
      <c r="HM126" s="14"/>
      <c r="HN126" s="14"/>
      <c r="HO126" s="14"/>
      <c r="HP126" s="14"/>
      <c r="HQ126" s="19"/>
      <c r="HR126" s="96"/>
      <c r="HS126" s="94"/>
      <c r="HT126" s="94"/>
      <c r="HU126" s="14"/>
      <c r="HV126" s="14"/>
      <c r="HW126" s="14"/>
      <c r="HX126" s="14"/>
      <c r="HY126" s="19"/>
      <c r="HZ126" s="96"/>
      <c r="IA126" s="94"/>
      <c r="IB126" s="94"/>
      <c r="IC126" s="14"/>
      <c r="ID126" s="14"/>
      <c r="IE126" s="14"/>
      <c r="IF126" s="14"/>
      <c r="IG126" s="19"/>
      <c r="IH126" s="96"/>
      <c r="II126" s="94"/>
      <c r="IJ126" s="94"/>
      <c r="IK126" s="14"/>
      <c r="IL126" s="14"/>
      <c r="IM126" s="14"/>
      <c r="IN126" s="14"/>
    </row>
    <row r="127" spans="1:248" s="13" customFormat="1" ht="34.5" customHeight="1">
      <c r="A127" s="49"/>
      <c r="B127" s="66" t="s">
        <v>398</v>
      </c>
      <c r="C127" s="46" t="s">
        <v>48</v>
      </c>
      <c r="D127" s="46">
        <f>20+2+4+16+94</f>
        <v>136</v>
      </c>
      <c r="E127" s="64">
        <v>1</v>
      </c>
      <c r="F127" s="64">
        <v>1</v>
      </c>
      <c r="G127" s="69">
        <f t="shared" si="4"/>
        <v>136</v>
      </c>
      <c r="H127" s="154">
        <f>2572+820+1375+5750+108877</f>
        <v>119394</v>
      </c>
      <c r="I127" s="162" t="s">
        <v>415</v>
      </c>
      <c r="J127" s="23"/>
      <c r="L127" s="96"/>
      <c r="M127" s="94"/>
      <c r="N127" s="14"/>
      <c r="O127" s="14"/>
      <c r="P127" s="14"/>
      <c r="Q127" s="19"/>
      <c r="R127" s="96"/>
      <c r="S127" s="94"/>
      <c r="T127" s="94"/>
      <c r="U127" s="14"/>
      <c r="V127" s="14"/>
      <c r="W127" s="14"/>
      <c r="X127" s="14"/>
      <c r="Y127" s="19"/>
      <c r="Z127" s="96"/>
      <c r="AA127" s="94"/>
      <c r="AB127" s="94"/>
      <c r="AC127" s="14"/>
      <c r="AD127" s="14"/>
      <c r="AE127" s="14"/>
      <c r="AF127" s="14"/>
      <c r="AG127" s="19"/>
      <c r="AH127" s="96"/>
      <c r="AI127" s="94"/>
      <c r="AJ127" s="94"/>
      <c r="AK127" s="14"/>
      <c r="AL127" s="14"/>
      <c r="AM127" s="14"/>
      <c r="AN127" s="14"/>
      <c r="AO127" s="19"/>
      <c r="AP127" s="96"/>
      <c r="AQ127" s="94"/>
      <c r="AR127" s="94"/>
      <c r="AS127" s="14"/>
      <c r="AT127" s="14"/>
      <c r="AU127" s="14"/>
      <c r="AV127" s="14"/>
      <c r="AW127" s="19"/>
      <c r="AX127" s="96"/>
      <c r="AY127" s="94"/>
      <c r="AZ127" s="94"/>
      <c r="BA127" s="14"/>
      <c r="BB127" s="14"/>
      <c r="BC127" s="14"/>
      <c r="BD127" s="14"/>
      <c r="BE127" s="19"/>
      <c r="BF127" s="96"/>
      <c r="BG127" s="94"/>
      <c r="BH127" s="94"/>
      <c r="BI127" s="14"/>
      <c r="BJ127" s="14"/>
      <c r="BK127" s="14"/>
      <c r="BL127" s="14"/>
      <c r="BM127" s="19"/>
      <c r="BN127" s="96"/>
      <c r="BO127" s="94"/>
      <c r="BP127" s="94"/>
      <c r="BQ127" s="14"/>
      <c r="BR127" s="14"/>
      <c r="BS127" s="14"/>
      <c r="BT127" s="14"/>
      <c r="BU127" s="19"/>
      <c r="BV127" s="96"/>
      <c r="BW127" s="94"/>
      <c r="BX127" s="94"/>
      <c r="BY127" s="14"/>
      <c r="BZ127" s="14"/>
      <c r="CA127" s="14"/>
      <c r="CB127" s="14"/>
      <c r="CC127" s="19"/>
      <c r="CD127" s="96"/>
      <c r="CE127" s="94"/>
      <c r="CF127" s="94"/>
      <c r="CG127" s="14"/>
      <c r="CH127" s="14"/>
      <c r="CI127" s="14"/>
      <c r="CJ127" s="14"/>
      <c r="CK127" s="19"/>
      <c r="CL127" s="96"/>
      <c r="CM127" s="94"/>
      <c r="CN127" s="94"/>
      <c r="CO127" s="14"/>
      <c r="CP127" s="14"/>
      <c r="CQ127" s="14"/>
      <c r="CR127" s="14"/>
      <c r="CS127" s="19"/>
      <c r="CT127" s="96"/>
      <c r="CU127" s="94"/>
      <c r="CV127" s="94"/>
      <c r="CW127" s="14"/>
      <c r="CX127" s="14"/>
      <c r="CY127" s="14"/>
      <c r="CZ127" s="14"/>
      <c r="DA127" s="19"/>
      <c r="DB127" s="96"/>
      <c r="DC127" s="94"/>
      <c r="DD127" s="94"/>
      <c r="DE127" s="14"/>
      <c r="DF127" s="14"/>
      <c r="DG127" s="14"/>
      <c r="DH127" s="14"/>
      <c r="DI127" s="19"/>
      <c r="DJ127" s="96"/>
      <c r="DK127" s="94"/>
      <c r="DL127" s="94"/>
      <c r="DM127" s="14"/>
      <c r="DN127" s="14"/>
      <c r="DO127" s="14"/>
      <c r="DP127" s="14"/>
      <c r="DQ127" s="19"/>
      <c r="DR127" s="96"/>
      <c r="DS127" s="94"/>
      <c r="DT127" s="94"/>
      <c r="DU127" s="14"/>
      <c r="DV127" s="14"/>
      <c r="DW127" s="14"/>
      <c r="DX127" s="14"/>
      <c r="DY127" s="19"/>
      <c r="DZ127" s="96"/>
      <c r="EA127" s="94"/>
      <c r="EB127" s="94"/>
      <c r="EC127" s="14"/>
      <c r="ED127" s="14"/>
      <c r="EE127" s="14"/>
      <c r="EF127" s="14"/>
      <c r="EG127" s="19"/>
      <c r="EH127" s="96"/>
      <c r="EI127" s="94"/>
      <c r="EJ127" s="94"/>
      <c r="EK127" s="14"/>
      <c r="EL127" s="14"/>
      <c r="EM127" s="14"/>
      <c r="EN127" s="14"/>
      <c r="EO127" s="19"/>
      <c r="EP127" s="96"/>
      <c r="EQ127" s="94"/>
      <c r="ER127" s="94"/>
      <c r="ES127" s="14"/>
      <c r="ET127" s="14"/>
      <c r="EU127" s="14"/>
      <c r="EV127" s="14"/>
      <c r="EW127" s="19"/>
      <c r="EX127" s="96"/>
      <c r="EY127" s="94"/>
      <c r="EZ127" s="94"/>
      <c r="FA127" s="14"/>
      <c r="FB127" s="14"/>
      <c r="FC127" s="14"/>
      <c r="FD127" s="14"/>
      <c r="FE127" s="19"/>
      <c r="FF127" s="96"/>
      <c r="FG127" s="94"/>
      <c r="FH127" s="94"/>
      <c r="FI127" s="14"/>
      <c r="FJ127" s="14"/>
      <c r="FK127" s="14"/>
      <c r="FL127" s="14"/>
      <c r="FM127" s="19"/>
      <c r="FN127" s="96"/>
      <c r="FO127" s="94"/>
      <c r="FP127" s="94"/>
      <c r="FQ127" s="14"/>
      <c r="FR127" s="14"/>
      <c r="FS127" s="14"/>
      <c r="FT127" s="14"/>
      <c r="FU127" s="19"/>
      <c r="FV127" s="96"/>
      <c r="FW127" s="94"/>
      <c r="FX127" s="94"/>
      <c r="FY127" s="14"/>
      <c r="FZ127" s="14"/>
      <c r="GA127" s="14"/>
      <c r="GB127" s="14"/>
      <c r="GC127" s="19"/>
      <c r="GD127" s="96"/>
      <c r="GE127" s="94"/>
      <c r="GF127" s="94"/>
      <c r="GG127" s="14"/>
      <c r="GH127" s="14"/>
      <c r="GI127" s="14"/>
      <c r="GJ127" s="14"/>
      <c r="GK127" s="19"/>
      <c r="GL127" s="96"/>
      <c r="GM127" s="94"/>
      <c r="GN127" s="94"/>
      <c r="GO127" s="14"/>
      <c r="GP127" s="14"/>
      <c r="GQ127" s="14"/>
      <c r="GR127" s="14"/>
      <c r="GS127" s="19"/>
      <c r="GT127" s="96"/>
      <c r="GU127" s="94"/>
      <c r="GV127" s="94"/>
      <c r="GW127" s="14"/>
      <c r="GX127" s="14"/>
      <c r="GY127" s="14"/>
      <c r="GZ127" s="14"/>
      <c r="HA127" s="19"/>
      <c r="HB127" s="96"/>
      <c r="HC127" s="94"/>
      <c r="HD127" s="94"/>
      <c r="HE127" s="14"/>
      <c r="HF127" s="14"/>
      <c r="HG127" s="14"/>
      <c r="HH127" s="14"/>
      <c r="HI127" s="19"/>
      <c r="HJ127" s="96"/>
      <c r="HK127" s="94"/>
      <c r="HL127" s="94"/>
      <c r="HM127" s="14"/>
      <c r="HN127" s="14"/>
      <c r="HO127" s="14"/>
      <c r="HP127" s="14"/>
      <c r="HQ127" s="19"/>
      <c r="HR127" s="96"/>
      <c r="HS127" s="94"/>
      <c r="HT127" s="94"/>
      <c r="HU127" s="14"/>
      <c r="HV127" s="14"/>
      <c r="HW127" s="14"/>
      <c r="HX127" s="14"/>
      <c r="HY127" s="19"/>
      <c r="HZ127" s="96"/>
      <c r="IA127" s="94"/>
      <c r="IB127" s="94"/>
      <c r="IC127" s="14"/>
      <c r="ID127" s="14"/>
      <c r="IE127" s="14"/>
      <c r="IF127" s="14"/>
      <c r="IG127" s="19"/>
      <c r="IH127" s="96"/>
      <c r="II127" s="94"/>
      <c r="IJ127" s="94"/>
      <c r="IK127" s="14"/>
      <c r="IL127" s="14"/>
      <c r="IM127" s="14"/>
      <c r="IN127" s="14"/>
    </row>
    <row r="128" spans="1:248" s="13" customFormat="1" ht="19.5" customHeight="1">
      <c r="A128" s="49"/>
      <c r="B128" s="83" t="s">
        <v>388</v>
      </c>
      <c r="C128" s="46" t="s">
        <v>48</v>
      </c>
      <c r="D128" s="46">
        <f>8+8+29+33+7+43+770</f>
        <v>898</v>
      </c>
      <c r="E128" s="64">
        <v>1</v>
      </c>
      <c r="F128" s="64">
        <v>1</v>
      </c>
      <c r="G128" s="69">
        <f t="shared" si="4"/>
        <v>898</v>
      </c>
      <c r="H128" s="154">
        <f>17074+106945</f>
        <v>124019</v>
      </c>
      <c r="I128" s="46" t="s">
        <v>416</v>
      </c>
      <c r="L128" s="96"/>
      <c r="M128" s="94"/>
      <c r="N128" s="14"/>
      <c r="O128" s="14"/>
      <c r="P128" s="14"/>
      <c r="Q128" s="19"/>
      <c r="R128" s="96"/>
      <c r="S128" s="94"/>
      <c r="T128" s="94"/>
      <c r="U128" s="14"/>
      <c r="V128" s="14"/>
      <c r="W128" s="14"/>
      <c r="X128" s="14"/>
      <c r="Y128" s="19"/>
      <c r="Z128" s="96"/>
      <c r="AA128" s="94"/>
      <c r="AB128" s="94"/>
      <c r="AC128" s="14"/>
      <c r="AD128" s="14"/>
      <c r="AE128" s="14"/>
      <c r="AF128" s="14"/>
      <c r="AG128" s="19"/>
      <c r="AH128" s="96"/>
      <c r="AI128" s="94"/>
      <c r="AJ128" s="94"/>
      <c r="AK128" s="14"/>
      <c r="AL128" s="14"/>
      <c r="AM128" s="14"/>
      <c r="AN128" s="14"/>
      <c r="AO128" s="19"/>
      <c r="AP128" s="96"/>
      <c r="AQ128" s="94"/>
      <c r="AR128" s="94"/>
      <c r="AS128" s="14"/>
      <c r="AT128" s="14"/>
      <c r="AU128" s="14"/>
      <c r="AV128" s="14"/>
      <c r="AW128" s="19"/>
      <c r="AX128" s="96"/>
      <c r="AY128" s="94"/>
      <c r="AZ128" s="94"/>
      <c r="BA128" s="14"/>
      <c r="BB128" s="14"/>
      <c r="BC128" s="14"/>
      <c r="BD128" s="14"/>
      <c r="BE128" s="19"/>
      <c r="BF128" s="96"/>
      <c r="BG128" s="94"/>
      <c r="BH128" s="94"/>
      <c r="BI128" s="14"/>
      <c r="BJ128" s="14"/>
      <c r="BK128" s="14"/>
      <c r="BL128" s="14"/>
      <c r="BM128" s="19"/>
      <c r="BN128" s="96"/>
      <c r="BO128" s="94"/>
      <c r="BP128" s="94"/>
      <c r="BQ128" s="14"/>
      <c r="BR128" s="14"/>
      <c r="BS128" s="14"/>
      <c r="BT128" s="14"/>
      <c r="BU128" s="19"/>
      <c r="BV128" s="96"/>
      <c r="BW128" s="94"/>
      <c r="BX128" s="94"/>
      <c r="BY128" s="14"/>
      <c r="BZ128" s="14"/>
      <c r="CA128" s="14"/>
      <c r="CB128" s="14"/>
      <c r="CC128" s="19"/>
      <c r="CD128" s="96"/>
      <c r="CE128" s="94"/>
      <c r="CF128" s="94"/>
      <c r="CG128" s="14"/>
      <c r="CH128" s="14"/>
      <c r="CI128" s="14"/>
      <c r="CJ128" s="14"/>
      <c r="CK128" s="19"/>
      <c r="CL128" s="96"/>
      <c r="CM128" s="94"/>
      <c r="CN128" s="94"/>
      <c r="CO128" s="14"/>
      <c r="CP128" s="14"/>
      <c r="CQ128" s="14"/>
      <c r="CR128" s="14"/>
      <c r="CS128" s="19"/>
      <c r="CT128" s="96"/>
      <c r="CU128" s="94"/>
      <c r="CV128" s="94"/>
      <c r="CW128" s="14"/>
      <c r="CX128" s="14"/>
      <c r="CY128" s="14"/>
      <c r="CZ128" s="14"/>
      <c r="DA128" s="19"/>
      <c r="DB128" s="96"/>
      <c r="DC128" s="94"/>
      <c r="DD128" s="94"/>
      <c r="DE128" s="14"/>
      <c r="DF128" s="14"/>
      <c r="DG128" s="14"/>
      <c r="DH128" s="14"/>
      <c r="DI128" s="19"/>
      <c r="DJ128" s="96"/>
      <c r="DK128" s="94"/>
      <c r="DL128" s="94"/>
      <c r="DM128" s="14"/>
      <c r="DN128" s="14"/>
      <c r="DO128" s="14"/>
      <c r="DP128" s="14"/>
      <c r="DQ128" s="19"/>
      <c r="DR128" s="96"/>
      <c r="DS128" s="94"/>
      <c r="DT128" s="94"/>
      <c r="DU128" s="14"/>
      <c r="DV128" s="14"/>
      <c r="DW128" s="14"/>
      <c r="DX128" s="14"/>
      <c r="DY128" s="19"/>
      <c r="DZ128" s="96"/>
      <c r="EA128" s="94"/>
      <c r="EB128" s="94"/>
      <c r="EC128" s="14"/>
      <c r="ED128" s="14"/>
      <c r="EE128" s="14"/>
      <c r="EF128" s="14"/>
      <c r="EG128" s="19"/>
      <c r="EH128" s="96"/>
      <c r="EI128" s="94"/>
      <c r="EJ128" s="94"/>
      <c r="EK128" s="14"/>
      <c r="EL128" s="14"/>
      <c r="EM128" s="14"/>
      <c r="EN128" s="14"/>
      <c r="EO128" s="19"/>
      <c r="EP128" s="96"/>
      <c r="EQ128" s="94"/>
      <c r="ER128" s="94"/>
      <c r="ES128" s="14"/>
      <c r="ET128" s="14"/>
      <c r="EU128" s="14"/>
      <c r="EV128" s="14"/>
      <c r="EW128" s="19"/>
      <c r="EX128" s="96"/>
      <c r="EY128" s="94"/>
      <c r="EZ128" s="94"/>
      <c r="FA128" s="14"/>
      <c r="FB128" s="14"/>
      <c r="FC128" s="14"/>
      <c r="FD128" s="14"/>
      <c r="FE128" s="19"/>
      <c r="FF128" s="96"/>
      <c r="FG128" s="94"/>
      <c r="FH128" s="94"/>
      <c r="FI128" s="14"/>
      <c r="FJ128" s="14"/>
      <c r="FK128" s="14"/>
      <c r="FL128" s="14"/>
      <c r="FM128" s="19"/>
      <c r="FN128" s="96"/>
      <c r="FO128" s="94"/>
      <c r="FP128" s="94"/>
      <c r="FQ128" s="14"/>
      <c r="FR128" s="14"/>
      <c r="FS128" s="14"/>
      <c r="FT128" s="14"/>
      <c r="FU128" s="19"/>
      <c r="FV128" s="96"/>
      <c r="FW128" s="94"/>
      <c r="FX128" s="94"/>
      <c r="FY128" s="14"/>
      <c r="FZ128" s="14"/>
      <c r="GA128" s="14"/>
      <c r="GB128" s="14"/>
      <c r="GC128" s="19"/>
      <c r="GD128" s="96"/>
      <c r="GE128" s="94"/>
      <c r="GF128" s="94"/>
      <c r="GG128" s="14"/>
      <c r="GH128" s="14"/>
      <c r="GI128" s="14"/>
      <c r="GJ128" s="14"/>
      <c r="GK128" s="19"/>
      <c r="GL128" s="96"/>
      <c r="GM128" s="94"/>
      <c r="GN128" s="94"/>
      <c r="GO128" s="14"/>
      <c r="GP128" s="14"/>
      <c r="GQ128" s="14"/>
      <c r="GR128" s="14"/>
      <c r="GS128" s="19"/>
      <c r="GT128" s="96"/>
      <c r="GU128" s="94"/>
      <c r="GV128" s="94"/>
      <c r="GW128" s="14"/>
      <c r="GX128" s="14"/>
      <c r="GY128" s="14"/>
      <c r="GZ128" s="14"/>
      <c r="HA128" s="19"/>
      <c r="HB128" s="96"/>
      <c r="HC128" s="94"/>
      <c r="HD128" s="94"/>
      <c r="HE128" s="14"/>
      <c r="HF128" s="14"/>
      <c r="HG128" s="14"/>
      <c r="HH128" s="14"/>
      <c r="HI128" s="19"/>
      <c r="HJ128" s="96"/>
      <c r="HK128" s="94"/>
      <c r="HL128" s="94"/>
      <c r="HM128" s="14"/>
      <c r="HN128" s="14"/>
      <c r="HO128" s="14"/>
      <c r="HP128" s="14"/>
      <c r="HQ128" s="19"/>
      <c r="HR128" s="96"/>
      <c r="HS128" s="94"/>
      <c r="HT128" s="94"/>
      <c r="HU128" s="14"/>
      <c r="HV128" s="14"/>
      <c r="HW128" s="14"/>
      <c r="HX128" s="14"/>
      <c r="HY128" s="19"/>
      <c r="HZ128" s="96"/>
      <c r="IA128" s="94"/>
      <c r="IB128" s="94"/>
      <c r="IC128" s="14"/>
      <c r="ID128" s="14"/>
      <c r="IE128" s="14"/>
      <c r="IF128" s="14"/>
      <c r="IG128" s="19"/>
      <c r="IH128" s="96"/>
      <c r="II128" s="94"/>
      <c r="IJ128" s="94"/>
      <c r="IK128" s="14"/>
      <c r="IL128" s="14"/>
      <c r="IM128" s="14"/>
      <c r="IN128" s="14"/>
    </row>
    <row r="129" spans="1:248" s="13" customFormat="1" ht="23.25" customHeight="1">
      <c r="A129" s="49"/>
      <c r="B129" s="61" t="s">
        <v>389</v>
      </c>
      <c r="C129" s="35"/>
      <c r="D129" s="35"/>
      <c r="E129" s="37"/>
      <c r="F129" s="37"/>
      <c r="G129" s="31"/>
      <c r="H129" s="40">
        <v>3000</v>
      </c>
      <c r="I129" s="64" t="s">
        <v>49</v>
      </c>
      <c r="L129" s="96"/>
      <c r="M129" s="94"/>
      <c r="N129" s="14"/>
      <c r="O129" s="14"/>
      <c r="P129" s="14"/>
      <c r="Q129" s="19"/>
      <c r="R129" s="96"/>
      <c r="S129" s="94"/>
      <c r="T129" s="94"/>
      <c r="U129" s="14"/>
      <c r="V129" s="14"/>
      <c r="W129" s="14"/>
      <c r="X129" s="14"/>
      <c r="Y129" s="19"/>
      <c r="Z129" s="96"/>
      <c r="AA129" s="94"/>
      <c r="AB129" s="94"/>
      <c r="AC129" s="14"/>
      <c r="AD129" s="14"/>
      <c r="AE129" s="14"/>
      <c r="AF129" s="14"/>
      <c r="AG129" s="19"/>
      <c r="AH129" s="96"/>
      <c r="AI129" s="94"/>
      <c r="AJ129" s="94"/>
      <c r="AK129" s="14"/>
      <c r="AL129" s="14"/>
      <c r="AM129" s="14"/>
      <c r="AN129" s="14"/>
      <c r="AO129" s="19"/>
      <c r="AP129" s="96"/>
      <c r="AQ129" s="94"/>
      <c r="AR129" s="94"/>
      <c r="AS129" s="14"/>
      <c r="AT129" s="14"/>
      <c r="AU129" s="14"/>
      <c r="AV129" s="14"/>
      <c r="AW129" s="19"/>
      <c r="AX129" s="96"/>
      <c r="AY129" s="94"/>
      <c r="AZ129" s="94"/>
      <c r="BA129" s="14"/>
      <c r="BB129" s="14"/>
      <c r="BC129" s="14"/>
      <c r="BD129" s="14"/>
      <c r="BE129" s="19"/>
      <c r="BF129" s="96"/>
      <c r="BG129" s="94"/>
      <c r="BH129" s="94"/>
      <c r="BI129" s="14"/>
      <c r="BJ129" s="14"/>
      <c r="BK129" s="14"/>
      <c r="BL129" s="14"/>
      <c r="BM129" s="19"/>
      <c r="BN129" s="96"/>
      <c r="BO129" s="94"/>
      <c r="BP129" s="94"/>
      <c r="BQ129" s="14"/>
      <c r="BR129" s="14"/>
      <c r="BS129" s="14"/>
      <c r="BT129" s="14"/>
      <c r="BU129" s="19"/>
      <c r="BV129" s="96"/>
      <c r="BW129" s="94"/>
      <c r="BX129" s="94"/>
      <c r="BY129" s="14"/>
      <c r="BZ129" s="14"/>
      <c r="CA129" s="14"/>
      <c r="CB129" s="14"/>
      <c r="CC129" s="19"/>
      <c r="CD129" s="96"/>
      <c r="CE129" s="94"/>
      <c r="CF129" s="94"/>
      <c r="CG129" s="14"/>
      <c r="CH129" s="14"/>
      <c r="CI129" s="14"/>
      <c r="CJ129" s="14"/>
      <c r="CK129" s="19"/>
      <c r="CL129" s="96"/>
      <c r="CM129" s="94"/>
      <c r="CN129" s="94"/>
      <c r="CO129" s="14"/>
      <c r="CP129" s="14"/>
      <c r="CQ129" s="14"/>
      <c r="CR129" s="14"/>
      <c r="CS129" s="19"/>
      <c r="CT129" s="96"/>
      <c r="CU129" s="94"/>
      <c r="CV129" s="94"/>
      <c r="CW129" s="14"/>
      <c r="CX129" s="14"/>
      <c r="CY129" s="14"/>
      <c r="CZ129" s="14"/>
      <c r="DA129" s="19"/>
      <c r="DB129" s="96"/>
      <c r="DC129" s="94"/>
      <c r="DD129" s="94"/>
      <c r="DE129" s="14"/>
      <c r="DF129" s="14"/>
      <c r="DG129" s="14"/>
      <c r="DH129" s="14"/>
      <c r="DI129" s="19"/>
      <c r="DJ129" s="96"/>
      <c r="DK129" s="94"/>
      <c r="DL129" s="94"/>
      <c r="DM129" s="14"/>
      <c r="DN129" s="14"/>
      <c r="DO129" s="14"/>
      <c r="DP129" s="14"/>
      <c r="DQ129" s="19"/>
      <c r="DR129" s="96"/>
      <c r="DS129" s="94"/>
      <c r="DT129" s="94"/>
      <c r="DU129" s="14"/>
      <c r="DV129" s="14"/>
      <c r="DW129" s="14"/>
      <c r="DX129" s="14"/>
      <c r="DY129" s="19"/>
      <c r="DZ129" s="96"/>
      <c r="EA129" s="94"/>
      <c r="EB129" s="94"/>
      <c r="EC129" s="14"/>
      <c r="ED129" s="14"/>
      <c r="EE129" s="14"/>
      <c r="EF129" s="14"/>
      <c r="EG129" s="19"/>
      <c r="EH129" s="96"/>
      <c r="EI129" s="94"/>
      <c r="EJ129" s="94"/>
      <c r="EK129" s="14"/>
      <c r="EL129" s="14"/>
      <c r="EM129" s="14"/>
      <c r="EN129" s="14"/>
      <c r="EO129" s="19"/>
      <c r="EP129" s="96"/>
      <c r="EQ129" s="94"/>
      <c r="ER129" s="94"/>
      <c r="ES129" s="14"/>
      <c r="ET129" s="14"/>
      <c r="EU129" s="14"/>
      <c r="EV129" s="14"/>
      <c r="EW129" s="19"/>
      <c r="EX129" s="96"/>
      <c r="EY129" s="94"/>
      <c r="EZ129" s="94"/>
      <c r="FA129" s="14"/>
      <c r="FB129" s="14"/>
      <c r="FC129" s="14"/>
      <c r="FD129" s="14"/>
      <c r="FE129" s="19"/>
      <c r="FF129" s="96"/>
      <c r="FG129" s="94"/>
      <c r="FH129" s="94"/>
      <c r="FI129" s="14"/>
      <c r="FJ129" s="14"/>
      <c r="FK129" s="14"/>
      <c r="FL129" s="14"/>
      <c r="FM129" s="19"/>
      <c r="FN129" s="96"/>
      <c r="FO129" s="94"/>
      <c r="FP129" s="94"/>
      <c r="FQ129" s="14"/>
      <c r="FR129" s="14"/>
      <c r="FS129" s="14"/>
      <c r="FT129" s="14"/>
      <c r="FU129" s="19"/>
      <c r="FV129" s="96"/>
      <c r="FW129" s="94"/>
      <c r="FX129" s="94"/>
      <c r="FY129" s="14"/>
      <c r="FZ129" s="14"/>
      <c r="GA129" s="14"/>
      <c r="GB129" s="14"/>
      <c r="GC129" s="19"/>
      <c r="GD129" s="96"/>
      <c r="GE129" s="94"/>
      <c r="GF129" s="94"/>
      <c r="GG129" s="14"/>
      <c r="GH129" s="14"/>
      <c r="GI129" s="14"/>
      <c r="GJ129" s="14"/>
      <c r="GK129" s="19"/>
      <c r="GL129" s="96"/>
      <c r="GM129" s="94"/>
      <c r="GN129" s="94"/>
      <c r="GO129" s="14"/>
      <c r="GP129" s="14"/>
      <c r="GQ129" s="14"/>
      <c r="GR129" s="14"/>
      <c r="GS129" s="19"/>
      <c r="GT129" s="96"/>
      <c r="GU129" s="94"/>
      <c r="GV129" s="94"/>
      <c r="GW129" s="14"/>
      <c r="GX129" s="14"/>
      <c r="GY129" s="14"/>
      <c r="GZ129" s="14"/>
      <c r="HA129" s="19"/>
      <c r="HB129" s="96"/>
      <c r="HC129" s="94"/>
      <c r="HD129" s="94"/>
      <c r="HE129" s="14"/>
      <c r="HF129" s="14"/>
      <c r="HG129" s="14"/>
      <c r="HH129" s="14"/>
      <c r="HI129" s="19"/>
      <c r="HJ129" s="96"/>
      <c r="HK129" s="94"/>
      <c r="HL129" s="94"/>
      <c r="HM129" s="14"/>
      <c r="HN129" s="14"/>
      <c r="HO129" s="14"/>
      <c r="HP129" s="14"/>
      <c r="HQ129" s="19"/>
      <c r="HR129" s="96"/>
      <c r="HS129" s="94"/>
      <c r="HT129" s="94"/>
      <c r="HU129" s="14"/>
      <c r="HV129" s="14"/>
      <c r="HW129" s="14"/>
      <c r="HX129" s="14"/>
      <c r="HY129" s="19"/>
      <c r="HZ129" s="96"/>
      <c r="IA129" s="94"/>
      <c r="IB129" s="94"/>
      <c r="IC129" s="14"/>
      <c r="ID129" s="14"/>
      <c r="IE129" s="14"/>
      <c r="IF129" s="14"/>
      <c r="IG129" s="19"/>
      <c r="IH129" s="96"/>
      <c r="II129" s="94"/>
      <c r="IJ129" s="94"/>
      <c r="IK129" s="14"/>
      <c r="IL129" s="14"/>
      <c r="IM129" s="14"/>
      <c r="IN129" s="14"/>
    </row>
    <row r="130" spans="1:248" s="13" customFormat="1" ht="16.5" customHeight="1">
      <c r="A130" s="49"/>
      <c r="B130" s="2" t="s">
        <v>243</v>
      </c>
      <c r="C130" s="35"/>
      <c r="D130" s="35"/>
      <c r="E130" s="37"/>
      <c r="F130" s="37"/>
      <c r="G130" s="149">
        <f>SUM(G117:G129)</f>
        <v>7378</v>
      </c>
      <c r="H130" s="163">
        <f>SUM(H117:H129)</f>
        <v>713322</v>
      </c>
      <c r="I130" s="35"/>
      <c r="J130" s="23"/>
      <c r="L130" s="96"/>
      <c r="M130" s="94"/>
      <c r="N130" s="14"/>
      <c r="O130" s="14"/>
      <c r="P130" s="14"/>
      <c r="Q130" s="19"/>
      <c r="R130" s="96"/>
      <c r="S130" s="94"/>
      <c r="T130" s="94"/>
      <c r="U130" s="14"/>
      <c r="V130" s="14"/>
      <c r="W130" s="14"/>
      <c r="X130" s="14"/>
      <c r="Y130" s="19"/>
      <c r="Z130" s="96"/>
      <c r="AA130" s="94"/>
      <c r="AB130" s="94"/>
      <c r="AC130" s="14"/>
      <c r="AD130" s="14"/>
      <c r="AE130" s="14"/>
      <c r="AF130" s="14"/>
      <c r="AG130" s="19"/>
      <c r="AH130" s="96"/>
      <c r="AI130" s="94"/>
      <c r="AJ130" s="94"/>
      <c r="AK130" s="14"/>
      <c r="AL130" s="14"/>
      <c r="AM130" s="14"/>
      <c r="AN130" s="14"/>
      <c r="AO130" s="19"/>
      <c r="AP130" s="96"/>
      <c r="AQ130" s="94"/>
      <c r="AR130" s="94"/>
      <c r="AS130" s="14"/>
      <c r="AT130" s="14"/>
      <c r="AU130" s="14"/>
      <c r="AV130" s="14"/>
      <c r="AW130" s="19"/>
      <c r="AX130" s="96"/>
      <c r="AY130" s="94"/>
      <c r="AZ130" s="94"/>
      <c r="BA130" s="14"/>
      <c r="BB130" s="14"/>
      <c r="BC130" s="14"/>
      <c r="BD130" s="14"/>
      <c r="BE130" s="19"/>
      <c r="BF130" s="96"/>
      <c r="BG130" s="94"/>
      <c r="BH130" s="94"/>
      <c r="BI130" s="14"/>
      <c r="BJ130" s="14"/>
      <c r="BK130" s="14"/>
      <c r="BL130" s="14"/>
      <c r="BM130" s="19"/>
      <c r="BN130" s="96"/>
      <c r="BO130" s="94"/>
      <c r="BP130" s="94"/>
      <c r="BQ130" s="14"/>
      <c r="BR130" s="14"/>
      <c r="BS130" s="14"/>
      <c r="BT130" s="14"/>
      <c r="BU130" s="19"/>
      <c r="BV130" s="96"/>
      <c r="BW130" s="94"/>
      <c r="BX130" s="94"/>
      <c r="BY130" s="14"/>
      <c r="BZ130" s="14"/>
      <c r="CA130" s="14"/>
      <c r="CB130" s="14"/>
      <c r="CC130" s="19"/>
      <c r="CD130" s="96"/>
      <c r="CE130" s="94"/>
      <c r="CF130" s="94"/>
      <c r="CG130" s="14"/>
      <c r="CH130" s="14"/>
      <c r="CI130" s="14"/>
      <c r="CJ130" s="14"/>
      <c r="CK130" s="19"/>
      <c r="CL130" s="96"/>
      <c r="CM130" s="94"/>
      <c r="CN130" s="94"/>
      <c r="CO130" s="14"/>
      <c r="CP130" s="14"/>
      <c r="CQ130" s="14"/>
      <c r="CR130" s="14"/>
      <c r="CS130" s="19"/>
      <c r="CT130" s="96"/>
      <c r="CU130" s="94"/>
      <c r="CV130" s="94"/>
      <c r="CW130" s="14"/>
      <c r="CX130" s="14"/>
      <c r="CY130" s="14"/>
      <c r="CZ130" s="14"/>
      <c r="DA130" s="19"/>
      <c r="DB130" s="96"/>
      <c r="DC130" s="94"/>
      <c r="DD130" s="94"/>
      <c r="DE130" s="14"/>
      <c r="DF130" s="14"/>
      <c r="DG130" s="14"/>
      <c r="DH130" s="14"/>
      <c r="DI130" s="19"/>
      <c r="DJ130" s="96"/>
      <c r="DK130" s="94"/>
      <c r="DL130" s="94"/>
      <c r="DM130" s="14"/>
      <c r="DN130" s="14"/>
      <c r="DO130" s="14"/>
      <c r="DP130" s="14"/>
      <c r="DQ130" s="19"/>
      <c r="DR130" s="96"/>
      <c r="DS130" s="94"/>
      <c r="DT130" s="94"/>
      <c r="DU130" s="14"/>
      <c r="DV130" s="14"/>
      <c r="DW130" s="14"/>
      <c r="DX130" s="14"/>
      <c r="DY130" s="19"/>
      <c r="DZ130" s="96"/>
      <c r="EA130" s="94"/>
      <c r="EB130" s="94"/>
      <c r="EC130" s="14"/>
      <c r="ED130" s="14"/>
      <c r="EE130" s="14"/>
      <c r="EF130" s="14"/>
      <c r="EG130" s="19"/>
      <c r="EH130" s="96"/>
      <c r="EI130" s="94"/>
      <c r="EJ130" s="94"/>
      <c r="EK130" s="14"/>
      <c r="EL130" s="14"/>
      <c r="EM130" s="14"/>
      <c r="EN130" s="14"/>
      <c r="EO130" s="19"/>
      <c r="EP130" s="96"/>
      <c r="EQ130" s="94"/>
      <c r="ER130" s="94"/>
      <c r="ES130" s="14"/>
      <c r="ET130" s="14"/>
      <c r="EU130" s="14"/>
      <c r="EV130" s="14"/>
      <c r="EW130" s="19"/>
      <c r="EX130" s="96"/>
      <c r="EY130" s="94"/>
      <c r="EZ130" s="94"/>
      <c r="FA130" s="14"/>
      <c r="FB130" s="14"/>
      <c r="FC130" s="14"/>
      <c r="FD130" s="14"/>
      <c r="FE130" s="19"/>
      <c r="FF130" s="96"/>
      <c r="FG130" s="94"/>
      <c r="FH130" s="94"/>
      <c r="FI130" s="14"/>
      <c r="FJ130" s="14"/>
      <c r="FK130" s="14"/>
      <c r="FL130" s="14"/>
      <c r="FM130" s="19"/>
      <c r="FN130" s="96"/>
      <c r="FO130" s="94"/>
      <c r="FP130" s="94"/>
      <c r="FQ130" s="14"/>
      <c r="FR130" s="14"/>
      <c r="FS130" s="14"/>
      <c r="FT130" s="14"/>
      <c r="FU130" s="19"/>
      <c r="FV130" s="96"/>
      <c r="FW130" s="94"/>
      <c r="FX130" s="94"/>
      <c r="FY130" s="14"/>
      <c r="FZ130" s="14"/>
      <c r="GA130" s="14"/>
      <c r="GB130" s="14"/>
      <c r="GC130" s="19"/>
      <c r="GD130" s="96"/>
      <c r="GE130" s="94"/>
      <c r="GF130" s="94"/>
      <c r="GG130" s="14"/>
      <c r="GH130" s="14"/>
      <c r="GI130" s="14"/>
      <c r="GJ130" s="14"/>
      <c r="GK130" s="19"/>
      <c r="GL130" s="96"/>
      <c r="GM130" s="94"/>
      <c r="GN130" s="94"/>
      <c r="GO130" s="14"/>
      <c r="GP130" s="14"/>
      <c r="GQ130" s="14"/>
      <c r="GR130" s="14"/>
      <c r="GS130" s="19"/>
      <c r="GT130" s="96"/>
      <c r="GU130" s="94"/>
      <c r="GV130" s="94"/>
      <c r="GW130" s="14"/>
      <c r="GX130" s="14"/>
      <c r="GY130" s="14"/>
      <c r="GZ130" s="14"/>
      <c r="HA130" s="19"/>
      <c r="HB130" s="96"/>
      <c r="HC130" s="94"/>
      <c r="HD130" s="94"/>
      <c r="HE130" s="14"/>
      <c r="HF130" s="14"/>
      <c r="HG130" s="14"/>
      <c r="HH130" s="14"/>
      <c r="HI130" s="19"/>
      <c r="HJ130" s="96"/>
      <c r="HK130" s="94"/>
      <c r="HL130" s="94"/>
      <c r="HM130" s="14"/>
      <c r="HN130" s="14"/>
      <c r="HO130" s="14"/>
      <c r="HP130" s="14"/>
      <c r="HQ130" s="19"/>
      <c r="HR130" s="96"/>
      <c r="HS130" s="94"/>
      <c r="HT130" s="94"/>
      <c r="HU130" s="14"/>
      <c r="HV130" s="14"/>
      <c r="HW130" s="14"/>
      <c r="HX130" s="14"/>
      <c r="HY130" s="19"/>
      <c r="HZ130" s="96"/>
      <c r="IA130" s="94"/>
      <c r="IB130" s="94"/>
      <c r="IC130" s="14"/>
      <c r="ID130" s="14"/>
      <c r="IE130" s="14"/>
      <c r="IF130" s="14"/>
      <c r="IG130" s="19"/>
      <c r="IH130" s="96"/>
      <c r="II130" s="94"/>
      <c r="IJ130" s="94"/>
      <c r="IK130" s="14"/>
      <c r="IL130" s="14"/>
      <c r="IM130" s="14"/>
      <c r="IN130" s="14"/>
    </row>
    <row r="131" spans="1:248" s="13" customFormat="1" ht="16.5" customHeight="1">
      <c r="A131" s="49"/>
      <c r="B131" s="4" t="s">
        <v>344</v>
      </c>
      <c r="C131" s="132"/>
      <c r="D131" s="132"/>
      <c r="E131" s="75"/>
      <c r="F131" s="75"/>
      <c r="G131" s="135">
        <f>G88+G97+G114+G130</f>
        <v>40648.71751999999</v>
      </c>
      <c r="H131" s="133">
        <f>H115+H130</f>
        <v>1603621.987155552</v>
      </c>
      <c r="I131" s="35"/>
      <c r="J131" s="23"/>
      <c r="L131" s="129"/>
      <c r="M131" s="94"/>
      <c r="N131" s="14"/>
      <c r="O131" s="14"/>
      <c r="P131" s="14"/>
      <c r="Q131" s="19"/>
      <c r="R131" s="96"/>
      <c r="S131" s="94"/>
      <c r="T131" s="94"/>
      <c r="U131" s="14"/>
      <c r="V131" s="14"/>
      <c r="W131" s="14"/>
      <c r="X131" s="14"/>
      <c r="Y131" s="19"/>
      <c r="Z131" s="96"/>
      <c r="AA131" s="94"/>
      <c r="AB131" s="94"/>
      <c r="AC131" s="14"/>
      <c r="AD131" s="14"/>
      <c r="AE131" s="14"/>
      <c r="AF131" s="14"/>
      <c r="AG131" s="19"/>
      <c r="AH131" s="96"/>
      <c r="AI131" s="94"/>
      <c r="AJ131" s="94"/>
      <c r="AK131" s="14"/>
      <c r="AL131" s="14"/>
      <c r="AM131" s="14"/>
      <c r="AN131" s="14"/>
      <c r="AO131" s="19"/>
      <c r="AP131" s="96"/>
      <c r="AQ131" s="94"/>
      <c r="AR131" s="94"/>
      <c r="AS131" s="14"/>
      <c r="AT131" s="14"/>
      <c r="AU131" s="14"/>
      <c r="AV131" s="14"/>
      <c r="AW131" s="19"/>
      <c r="AX131" s="96"/>
      <c r="AY131" s="94"/>
      <c r="AZ131" s="94"/>
      <c r="BA131" s="14"/>
      <c r="BB131" s="14"/>
      <c r="BC131" s="14"/>
      <c r="BD131" s="14"/>
      <c r="BE131" s="19"/>
      <c r="BF131" s="96"/>
      <c r="BG131" s="94"/>
      <c r="BH131" s="94"/>
      <c r="BI131" s="14"/>
      <c r="BJ131" s="14"/>
      <c r="BK131" s="14"/>
      <c r="BL131" s="14"/>
      <c r="BM131" s="19"/>
      <c r="BN131" s="96"/>
      <c r="BO131" s="94"/>
      <c r="BP131" s="94"/>
      <c r="BQ131" s="14"/>
      <c r="BR131" s="14"/>
      <c r="BS131" s="14"/>
      <c r="BT131" s="14"/>
      <c r="BU131" s="19"/>
      <c r="BV131" s="96"/>
      <c r="BW131" s="94"/>
      <c r="BX131" s="94"/>
      <c r="BY131" s="14"/>
      <c r="BZ131" s="14"/>
      <c r="CA131" s="14"/>
      <c r="CB131" s="14"/>
      <c r="CC131" s="19"/>
      <c r="CD131" s="96"/>
      <c r="CE131" s="94"/>
      <c r="CF131" s="94"/>
      <c r="CG131" s="14"/>
      <c r="CH131" s="14"/>
      <c r="CI131" s="14"/>
      <c r="CJ131" s="14"/>
      <c r="CK131" s="19"/>
      <c r="CL131" s="96"/>
      <c r="CM131" s="94"/>
      <c r="CN131" s="94"/>
      <c r="CO131" s="14"/>
      <c r="CP131" s="14"/>
      <c r="CQ131" s="14"/>
      <c r="CR131" s="14"/>
      <c r="CS131" s="19"/>
      <c r="CT131" s="96"/>
      <c r="CU131" s="94"/>
      <c r="CV131" s="94"/>
      <c r="CW131" s="14"/>
      <c r="CX131" s="14"/>
      <c r="CY131" s="14"/>
      <c r="CZ131" s="14"/>
      <c r="DA131" s="19"/>
      <c r="DB131" s="96"/>
      <c r="DC131" s="94"/>
      <c r="DD131" s="94"/>
      <c r="DE131" s="14"/>
      <c r="DF131" s="14"/>
      <c r="DG131" s="14"/>
      <c r="DH131" s="14"/>
      <c r="DI131" s="19"/>
      <c r="DJ131" s="96"/>
      <c r="DK131" s="94"/>
      <c r="DL131" s="94"/>
      <c r="DM131" s="14"/>
      <c r="DN131" s="14"/>
      <c r="DO131" s="14"/>
      <c r="DP131" s="14"/>
      <c r="DQ131" s="19"/>
      <c r="DR131" s="96"/>
      <c r="DS131" s="94"/>
      <c r="DT131" s="94"/>
      <c r="DU131" s="14"/>
      <c r="DV131" s="14"/>
      <c r="DW131" s="14"/>
      <c r="DX131" s="14"/>
      <c r="DY131" s="19"/>
      <c r="DZ131" s="96"/>
      <c r="EA131" s="94"/>
      <c r="EB131" s="94"/>
      <c r="EC131" s="14"/>
      <c r="ED131" s="14"/>
      <c r="EE131" s="14"/>
      <c r="EF131" s="14"/>
      <c r="EG131" s="19"/>
      <c r="EH131" s="96"/>
      <c r="EI131" s="94"/>
      <c r="EJ131" s="94"/>
      <c r="EK131" s="14"/>
      <c r="EL131" s="14"/>
      <c r="EM131" s="14"/>
      <c r="EN131" s="14"/>
      <c r="EO131" s="19"/>
      <c r="EP131" s="96"/>
      <c r="EQ131" s="94"/>
      <c r="ER131" s="94"/>
      <c r="ES131" s="14"/>
      <c r="ET131" s="14"/>
      <c r="EU131" s="14"/>
      <c r="EV131" s="14"/>
      <c r="EW131" s="19"/>
      <c r="EX131" s="96"/>
      <c r="EY131" s="94"/>
      <c r="EZ131" s="94"/>
      <c r="FA131" s="14"/>
      <c r="FB131" s="14"/>
      <c r="FC131" s="14"/>
      <c r="FD131" s="14"/>
      <c r="FE131" s="19"/>
      <c r="FF131" s="96"/>
      <c r="FG131" s="94"/>
      <c r="FH131" s="94"/>
      <c r="FI131" s="14"/>
      <c r="FJ131" s="14"/>
      <c r="FK131" s="14"/>
      <c r="FL131" s="14"/>
      <c r="FM131" s="19"/>
      <c r="FN131" s="96"/>
      <c r="FO131" s="94"/>
      <c r="FP131" s="94"/>
      <c r="FQ131" s="14"/>
      <c r="FR131" s="14"/>
      <c r="FS131" s="14"/>
      <c r="FT131" s="14"/>
      <c r="FU131" s="19"/>
      <c r="FV131" s="96"/>
      <c r="FW131" s="94"/>
      <c r="FX131" s="94"/>
      <c r="FY131" s="14"/>
      <c r="FZ131" s="14"/>
      <c r="GA131" s="14"/>
      <c r="GB131" s="14"/>
      <c r="GC131" s="19"/>
      <c r="GD131" s="96"/>
      <c r="GE131" s="94"/>
      <c r="GF131" s="94"/>
      <c r="GG131" s="14"/>
      <c r="GH131" s="14"/>
      <c r="GI131" s="14"/>
      <c r="GJ131" s="14"/>
      <c r="GK131" s="19"/>
      <c r="GL131" s="96"/>
      <c r="GM131" s="94"/>
      <c r="GN131" s="94"/>
      <c r="GO131" s="14"/>
      <c r="GP131" s="14"/>
      <c r="GQ131" s="14"/>
      <c r="GR131" s="14"/>
      <c r="GS131" s="19"/>
      <c r="GT131" s="96"/>
      <c r="GU131" s="94"/>
      <c r="GV131" s="94"/>
      <c r="GW131" s="14"/>
      <c r="GX131" s="14"/>
      <c r="GY131" s="14"/>
      <c r="GZ131" s="14"/>
      <c r="HA131" s="19"/>
      <c r="HB131" s="96"/>
      <c r="HC131" s="94"/>
      <c r="HD131" s="94"/>
      <c r="HE131" s="14"/>
      <c r="HF131" s="14"/>
      <c r="HG131" s="14"/>
      <c r="HH131" s="14"/>
      <c r="HI131" s="19"/>
      <c r="HJ131" s="96"/>
      <c r="HK131" s="94"/>
      <c r="HL131" s="94"/>
      <c r="HM131" s="14"/>
      <c r="HN131" s="14"/>
      <c r="HO131" s="14"/>
      <c r="HP131" s="14"/>
      <c r="HQ131" s="19"/>
      <c r="HR131" s="96"/>
      <c r="HS131" s="94"/>
      <c r="HT131" s="94"/>
      <c r="HU131" s="14"/>
      <c r="HV131" s="14"/>
      <c r="HW131" s="14"/>
      <c r="HX131" s="14"/>
      <c r="HY131" s="19"/>
      <c r="HZ131" s="96"/>
      <c r="IA131" s="94"/>
      <c r="IB131" s="94"/>
      <c r="IC131" s="14"/>
      <c r="ID131" s="14"/>
      <c r="IE131" s="14"/>
      <c r="IF131" s="14"/>
      <c r="IG131" s="19"/>
      <c r="IH131" s="96"/>
      <c r="II131" s="94"/>
      <c r="IJ131" s="94"/>
      <c r="IK131" s="14"/>
      <c r="IL131" s="14"/>
      <c r="IM131" s="14"/>
      <c r="IN131" s="14"/>
    </row>
    <row r="132" spans="1:248" s="13" customFormat="1" ht="15" customHeight="1">
      <c r="A132" s="159">
        <v>2</v>
      </c>
      <c r="B132" s="2" t="s">
        <v>180</v>
      </c>
      <c r="C132" s="35"/>
      <c r="D132" s="35"/>
      <c r="E132" s="37"/>
      <c r="F132" s="37"/>
      <c r="G132" s="31"/>
      <c r="H132" s="133">
        <f>H133+H134+H135</f>
        <v>2152828</v>
      </c>
      <c r="I132" s="49"/>
      <c r="J132" s="23"/>
      <c r="L132" s="134"/>
      <c r="M132" s="94"/>
      <c r="N132" s="14"/>
      <c r="O132" s="14"/>
      <c r="P132" s="14"/>
      <c r="Q132" s="19"/>
      <c r="R132" s="96"/>
      <c r="S132" s="94"/>
      <c r="T132" s="94"/>
      <c r="U132" s="14"/>
      <c r="V132" s="14"/>
      <c r="W132" s="14"/>
      <c r="X132" s="14"/>
      <c r="Y132" s="19"/>
      <c r="Z132" s="96"/>
      <c r="AA132" s="94"/>
      <c r="AB132" s="94"/>
      <c r="AC132" s="14"/>
      <c r="AD132" s="14"/>
      <c r="AE132" s="14"/>
      <c r="AF132" s="14"/>
      <c r="AG132" s="19"/>
      <c r="AH132" s="96"/>
      <c r="AI132" s="94"/>
      <c r="AJ132" s="94"/>
      <c r="AK132" s="14"/>
      <c r="AL132" s="14"/>
      <c r="AM132" s="14"/>
      <c r="AN132" s="14"/>
      <c r="AO132" s="19"/>
      <c r="AP132" s="96"/>
      <c r="AQ132" s="94"/>
      <c r="AR132" s="94"/>
      <c r="AS132" s="14"/>
      <c r="AT132" s="14"/>
      <c r="AU132" s="14"/>
      <c r="AV132" s="14"/>
      <c r="AW132" s="19"/>
      <c r="AX132" s="96"/>
      <c r="AY132" s="94"/>
      <c r="AZ132" s="94"/>
      <c r="BA132" s="14"/>
      <c r="BB132" s="14"/>
      <c r="BC132" s="14"/>
      <c r="BD132" s="14"/>
      <c r="BE132" s="19"/>
      <c r="BF132" s="96"/>
      <c r="BG132" s="94"/>
      <c r="BH132" s="94"/>
      <c r="BI132" s="14"/>
      <c r="BJ132" s="14"/>
      <c r="BK132" s="14"/>
      <c r="BL132" s="14"/>
      <c r="BM132" s="19"/>
      <c r="BN132" s="96"/>
      <c r="BO132" s="94"/>
      <c r="BP132" s="94"/>
      <c r="BQ132" s="14"/>
      <c r="BR132" s="14"/>
      <c r="BS132" s="14"/>
      <c r="BT132" s="14"/>
      <c r="BU132" s="19"/>
      <c r="BV132" s="96"/>
      <c r="BW132" s="94"/>
      <c r="BX132" s="94"/>
      <c r="BY132" s="14"/>
      <c r="BZ132" s="14"/>
      <c r="CA132" s="14"/>
      <c r="CB132" s="14"/>
      <c r="CC132" s="19"/>
      <c r="CD132" s="96"/>
      <c r="CE132" s="94"/>
      <c r="CF132" s="94"/>
      <c r="CG132" s="14"/>
      <c r="CH132" s="14"/>
      <c r="CI132" s="14"/>
      <c r="CJ132" s="14"/>
      <c r="CK132" s="19"/>
      <c r="CL132" s="96"/>
      <c r="CM132" s="94"/>
      <c r="CN132" s="94"/>
      <c r="CO132" s="14"/>
      <c r="CP132" s="14"/>
      <c r="CQ132" s="14"/>
      <c r="CR132" s="14"/>
      <c r="CS132" s="19"/>
      <c r="CT132" s="96"/>
      <c r="CU132" s="94"/>
      <c r="CV132" s="94"/>
      <c r="CW132" s="14"/>
      <c r="CX132" s="14"/>
      <c r="CY132" s="14"/>
      <c r="CZ132" s="14"/>
      <c r="DA132" s="19"/>
      <c r="DB132" s="96"/>
      <c r="DC132" s="94"/>
      <c r="DD132" s="94"/>
      <c r="DE132" s="14"/>
      <c r="DF132" s="14"/>
      <c r="DG132" s="14"/>
      <c r="DH132" s="14"/>
      <c r="DI132" s="19"/>
      <c r="DJ132" s="96"/>
      <c r="DK132" s="94"/>
      <c r="DL132" s="94"/>
      <c r="DM132" s="14"/>
      <c r="DN132" s="14"/>
      <c r="DO132" s="14"/>
      <c r="DP132" s="14"/>
      <c r="DQ132" s="19"/>
      <c r="DR132" s="96"/>
      <c r="DS132" s="94"/>
      <c r="DT132" s="94"/>
      <c r="DU132" s="14"/>
      <c r="DV132" s="14"/>
      <c r="DW132" s="14"/>
      <c r="DX132" s="14"/>
      <c r="DY132" s="19"/>
      <c r="DZ132" s="96"/>
      <c r="EA132" s="94"/>
      <c r="EB132" s="94"/>
      <c r="EC132" s="14"/>
      <c r="ED132" s="14"/>
      <c r="EE132" s="14"/>
      <c r="EF132" s="14"/>
      <c r="EG132" s="19"/>
      <c r="EH132" s="96"/>
      <c r="EI132" s="94"/>
      <c r="EJ132" s="94"/>
      <c r="EK132" s="14"/>
      <c r="EL132" s="14"/>
      <c r="EM132" s="14"/>
      <c r="EN132" s="14"/>
      <c r="EO132" s="19"/>
      <c r="EP132" s="96"/>
      <c r="EQ132" s="94"/>
      <c r="ER132" s="94"/>
      <c r="ES132" s="14"/>
      <c r="ET132" s="14"/>
      <c r="EU132" s="14"/>
      <c r="EV132" s="14"/>
      <c r="EW132" s="19"/>
      <c r="EX132" s="96"/>
      <c r="EY132" s="94"/>
      <c r="EZ132" s="94"/>
      <c r="FA132" s="14"/>
      <c r="FB132" s="14"/>
      <c r="FC132" s="14"/>
      <c r="FD132" s="14"/>
      <c r="FE132" s="19"/>
      <c r="FF132" s="96"/>
      <c r="FG132" s="94"/>
      <c r="FH132" s="94"/>
      <c r="FI132" s="14"/>
      <c r="FJ132" s="14"/>
      <c r="FK132" s="14"/>
      <c r="FL132" s="14"/>
      <c r="FM132" s="19"/>
      <c r="FN132" s="96"/>
      <c r="FO132" s="94"/>
      <c r="FP132" s="94"/>
      <c r="FQ132" s="14"/>
      <c r="FR132" s="14"/>
      <c r="FS132" s="14"/>
      <c r="FT132" s="14"/>
      <c r="FU132" s="19"/>
      <c r="FV132" s="96"/>
      <c r="FW132" s="94"/>
      <c r="FX132" s="94"/>
      <c r="FY132" s="14"/>
      <c r="FZ132" s="14"/>
      <c r="GA132" s="14"/>
      <c r="GB132" s="14"/>
      <c r="GC132" s="19"/>
      <c r="GD132" s="96"/>
      <c r="GE132" s="94"/>
      <c r="GF132" s="94"/>
      <c r="GG132" s="14"/>
      <c r="GH132" s="14"/>
      <c r="GI132" s="14"/>
      <c r="GJ132" s="14"/>
      <c r="GK132" s="19"/>
      <c r="GL132" s="96"/>
      <c r="GM132" s="94"/>
      <c r="GN132" s="94"/>
      <c r="GO132" s="14"/>
      <c r="GP132" s="14"/>
      <c r="GQ132" s="14"/>
      <c r="GR132" s="14"/>
      <c r="GS132" s="19"/>
      <c r="GT132" s="96"/>
      <c r="GU132" s="94"/>
      <c r="GV132" s="94"/>
      <c r="GW132" s="14"/>
      <c r="GX132" s="14"/>
      <c r="GY132" s="14"/>
      <c r="GZ132" s="14"/>
      <c r="HA132" s="19"/>
      <c r="HB132" s="96"/>
      <c r="HC132" s="94"/>
      <c r="HD132" s="94"/>
      <c r="HE132" s="14"/>
      <c r="HF132" s="14"/>
      <c r="HG132" s="14"/>
      <c r="HH132" s="14"/>
      <c r="HI132" s="19"/>
      <c r="HJ132" s="96"/>
      <c r="HK132" s="94"/>
      <c r="HL132" s="94"/>
      <c r="HM132" s="14"/>
      <c r="HN132" s="14"/>
      <c r="HO132" s="14"/>
      <c r="HP132" s="14"/>
      <c r="HQ132" s="19"/>
      <c r="HR132" s="96"/>
      <c r="HS132" s="94"/>
      <c r="HT132" s="94"/>
      <c r="HU132" s="14"/>
      <c r="HV132" s="14"/>
      <c r="HW132" s="14"/>
      <c r="HX132" s="14"/>
      <c r="HY132" s="19"/>
      <c r="HZ132" s="96"/>
      <c r="IA132" s="94"/>
      <c r="IB132" s="94"/>
      <c r="IC132" s="14"/>
      <c r="ID132" s="14"/>
      <c r="IE132" s="14"/>
      <c r="IF132" s="14"/>
      <c r="IG132" s="19"/>
      <c r="IH132" s="96"/>
      <c r="II132" s="94"/>
      <c r="IJ132" s="94"/>
      <c r="IK132" s="14"/>
      <c r="IL132" s="14"/>
      <c r="IM132" s="14"/>
      <c r="IN132" s="14"/>
    </row>
    <row r="133" spans="1:248" s="13" customFormat="1" ht="25.5">
      <c r="A133" s="49">
        <v>1</v>
      </c>
      <c r="B133" s="156" t="s">
        <v>394</v>
      </c>
      <c r="C133" s="35"/>
      <c r="D133" s="35"/>
      <c r="E133" s="37"/>
      <c r="F133" s="37"/>
      <c r="G133" s="31"/>
      <c r="H133" s="41">
        <v>28890</v>
      </c>
      <c r="I133" s="155"/>
      <c r="L133" s="96"/>
      <c r="M133" s="94"/>
      <c r="N133" s="14"/>
      <c r="O133" s="14"/>
      <c r="P133" s="14"/>
      <c r="Q133" s="19"/>
      <c r="R133" s="96"/>
      <c r="S133" s="94"/>
      <c r="T133" s="94"/>
      <c r="U133" s="14"/>
      <c r="V133" s="14"/>
      <c r="W133" s="14"/>
      <c r="X133" s="14"/>
      <c r="Y133" s="19"/>
      <c r="Z133" s="96"/>
      <c r="AA133" s="94"/>
      <c r="AB133" s="94"/>
      <c r="AC133" s="14"/>
      <c r="AD133" s="14"/>
      <c r="AE133" s="14"/>
      <c r="AF133" s="14"/>
      <c r="AG133" s="19"/>
      <c r="AH133" s="96"/>
      <c r="AI133" s="94"/>
      <c r="AJ133" s="94"/>
      <c r="AK133" s="14"/>
      <c r="AL133" s="14"/>
      <c r="AM133" s="14"/>
      <c r="AN133" s="14"/>
      <c r="AO133" s="19"/>
      <c r="AP133" s="96"/>
      <c r="AQ133" s="94"/>
      <c r="AR133" s="94"/>
      <c r="AS133" s="14"/>
      <c r="AT133" s="14"/>
      <c r="AU133" s="14"/>
      <c r="AV133" s="14"/>
      <c r="AW133" s="19"/>
      <c r="AX133" s="96"/>
      <c r="AY133" s="94"/>
      <c r="AZ133" s="94"/>
      <c r="BA133" s="14"/>
      <c r="BB133" s="14"/>
      <c r="BC133" s="14"/>
      <c r="BD133" s="14"/>
      <c r="BE133" s="19"/>
      <c r="BF133" s="96"/>
      <c r="BG133" s="94"/>
      <c r="BH133" s="94"/>
      <c r="BI133" s="14"/>
      <c r="BJ133" s="14"/>
      <c r="BK133" s="14"/>
      <c r="BL133" s="14"/>
      <c r="BM133" s="19"/>
      <c r="BN133" s="96"/>
      <c r="BO133" s="94"/>
      <c r="BP133" s="94"/>
      <c r="BQ133" s="14"/>
      <c r="BR133" s="14"/>
      <c r="BS133" s="14"/>
      <c r="BT133" s="14"/>
      <c r="BU133" s="19"/>
      <c r="BV133" s="96"/>
      <c r="BW133" s="94"/>
      <c r="BX133" s="94"/>
      <c r="BY133" s="14"/>
      <c r="BZ133" s="14"/>
      <c r="CA133" s="14"/>
      <c r="CB133" s="14"/>
      <c r="CC133" s="19"/>
      <c r="CD133" s="96"/>
      <c r="CE133" s="94"/>
      <c r="CF133" s="94"/>
      <c r="CG133" s="14"/>
      <c r="CH133" s="14"/>
      <c r="CI133" s="14"/>
      <c r="CJ133" s="14"/>
      <c r="CK133" s="19"/>
      <c r="CL133" s="96"/>
      <c r="CM133" s="94"/>
      <c r="CN133" s="94"/>
      <c r="CO133" s="14"/>
      <c r="CP133" s="14"/>
      <c r="CQ133" s="14"/>
      <c r="CR133" s="14"/>
      <c r="CS133" s="19"/>
      <c r="CT133" s="96"/>
      <c r="CU133" s="94"/>
      <c r="CV133" s="94"/>
      <c r="CW133" s="14"/>
      <c r="CX133" s="14"/>
      <c r="CY133" s="14"/>
      <c r="CZ133" s="14"/>
      <c r="DA133" s="19"/>
      <c r="DB133" s="96"/>
      <c r="DC133" s="94"/>
      <c r="DD133" s="94"/>
      <c r="DE133" s="14"/>
      <c r="DF133" s="14"/>
      <c r="DG133" s="14"/>
      <c r="DH133" s="14"/>
      <c r="DI133" s="19"/>
      <c r="DJ133" s="96"/>
      <c r="DK133" s="94"/>
      <c r="DL133" s="94"/>
      <c r="DM133" s="14"/>
      <c r="DN133" s="14"/>
      <c r="DO133" s="14"/>
      <c r="DP133" s="14"/>
      <c r="DQ133" s="19"/>
      <c r="DR133" s="96"/>
      <c r="DS133" s="94"/>
      <c r="DT133" s="94"/>
      <c r="DU133" s="14"/>
      <c r="DV133" s="14"/>
      <c r="DW133" s="14"/>
      <c r="DX133" s="14"/>
      <c r="DY133" s="19"/>
      <c r="DZ133" s="96"/>
      <c r="EA133" s="94"/>
      <c r="EB133" s="94"/>
      <c r="EC133" s="14"/>
      <c r="ED133" s="14"/>
      <c r="EE133" s="14"/>
      <c r="EF133" s="14"/>
      <c r="EG133" s="19"/>
      <c r="EH133" s="96"/>
      <c r="EI133" s="94"/>
      <c r="EJ133" s="94"/>
      <c r="EK133" s="14"/>
      <c r="EL133" s="14"/>
      <c r="EM133" s="14"/>
      <c r="EN133" s="14"/>
      <c r="EO133" s="19"/>
      <c r="EP133" s="96"/>
      <c r="EQ133" s="94"/>
      <c r="ER133" s="94"/>
      <c r="ES133" s="14"/>
      <c r="ET133" s="14"/>
      <c r="EU133" s="14"/>
      <c r="EV133" s="14"/>
      <c r="EW133" s="19"/>
      <c r="EX133" s="96"/>
      <c r="EY133" s="94"/>
      <c r="EZ133" s="94"/>
      <c r="FA133" s="14"/>
      <c r="FB133" s="14"/>
      <c r="FC133" s="14"/>
      <c r="FD133" s="14"/>
      <c r="FE133" s="19"/>
      <c r="FF133" s="96"/>
      <c r="FG133" s="94"/>
      <c r="FH133" s="94"/>
      <c r="FI133" s="14"/>
      <c r="FJ133" s="14"/>
      <c r="FK133" s="14"/>
      <c r="FL133" s="14"/>
      <c r="FM133" s="19"/>
      <c r="FN133" s="96"/>
      <c r="FO133" s="94"/>
      <c r="FP133" s="94"/>
      <c r="FQ133" s="14"/>
      <c r="FR133" s="14"/>
      <c r="FS133" s="14"/>
      <c r="FT133" s="14"/>
      <c r="FU133" s="19"/>
      <c r="FV133" s="96"/>
      <c r="FW133" s="94"/>
      <c r="FX133" s="94"/>
      <c r="FY133" s="14"/>
      <c r="FZ133" s="14"/>
      <c r="GA133" s="14"/>
      <c r="GB133" s="14"/>
      <c r="GC133" s="19"/>
      <c r="GD133" s="96"/>
      <c r="GE133" s="94"/>
      <c r="GF133" s="94"/>
      <c r="GG133" s="14"/>
      <c r="GH133" s="14"/>
      <c r="GI133" s="14"/>
      <c r="GJ133" s="14"/>
      <c r="GK133" s="19"/>
      <c r="GL133" s="96"/>
      <c r="GM133" s="94"/>
      <c r="GN133" s="94"/>
      <c r="GO133" s="14"/>
      <c r="GP133" s="14"/>
      <c r="GQ133" s="14"/>
      <c r="GR133" s="14"/>
      <c r="GS133" s="19"/>
      <c r="GT133" s="96"/>
      <c r="GU133" s="94"/>
      <c r="GV133" s="94"/>
      <c r="GW133" s="14"/>
      <c r="GX133" s="14"/>
      <c r="GY133" s="14"/>
      <c r="GZ133" s="14"/>
      <c r="HA133" s="19"/>
      <c r="HB133" s="96"/>
      <c r="HC133" s="94"/>
      <c r="HD133" s="94"/>
      <c r="HE133" s="14"/>
      <c r="HF133" s="14"/>
      <c r="HG133" s="14"/>
      <c r="HH133" s="14"/>
      <c r="HI133" s="19"/>
      <c r="HJ133" s="96"/>
      <c r="HK133" s="94"/>
      <c r="HL133" s="94"/>
      <c r="HM133" s="14"/>
      <c r="HN133" s="14"/>
      <c r="HO133" s="14"/>
      <c r="HP133" s="14"/>
      <c r="HQ133" s="19"/>
      <c r="HR133" s="96"/>
      <c r="HS133" s="94"/>
      <c r="HT133" s="94"/>
      <c r="HU133" s="14"/>
      <c r="HV133" s="14"/>
      <c r="HW133" s="14"/>
      <c r="HX133" s="14"/>
      <c r="HY133" s="19"/>
      <c r="HZ133" s="96"/>
      <c r="IA133" s="94"/>
      <c r="IB133" s="94"/>
      <c r="IC133" s="14"/>
      <c r="ID133" s="14"/>
      <c r="IE133" s="14"/>
      <c r="IF133" s="14"/>
      <c r="IG133" s="19"/>
      <c r="IH133" s="96"/>
      <c r="II133" s="94"/>
      <c r="IJ133" s="94"/>
      <c r="IK133" s="14"/>
      <c r="IL133" s="14"/>
      <c r="IM133" s="14"/>
      <c r="IN133" s="14"/>
    </row>
    <row r="134" spans="1:248" s="13" customFormat="1" ht="18.75" customHeight="1">
      <c r="A134" s="49">
        <v>2</v>
      </c>
      <c r="B134" s="61" t="s">
        <v>395</v>
      </c>
      <c r="C134" s="35"/>
      <c r="D134" s="35"/>
      <c r="E134" s="37"/>
      <c r="F134" s="37"/>
      <c r="G134" s="77"/>
      <c r="H134" s="41">
        <v>300000</v>
      </c>
      <c r="I134" s="49"/>
      <c r="J134" s="129"/>
      <c r="K134" s="94"/>
      <c r="L134" s="94"/>
      <c r="M134" s="14"/>
      <c r="N134" s="14"/>
      <c r="O134" s="14"/>
      <c r="P134" s="14"/>
      <c r="Q134" s="19"/>
      <c r="R134" s="96"/>
      <c r="S134" s="94"/>
      <c r="T134" s="94"/>
      <c r="U134" s="14"/>
      <c r="V134" s="14"/>
      <c r="W134" s="14"/>
      <c r="X134" s="14"/>
      <c r="Y134" s="19"/>
      <c r="Z134" s="96"/>
      <c r="AA134" s="94"/>
      <c r="AB134" s="94"/>
      <c r="AC134" s="14"/>
      <c r="AD134" s="14"/>
      <c r="AE134" s="14"/>
      <c r="AF134" s="14"/>
      <c r="AG134" s="19"/>
      <c r="AH134" s="96"/>
      <c r="AI134" s="94"/>
      <c r="AJ134" s="94"/>
      <c r="AK134" s="14"/>
      <c r="AL134" s="14"/>
      <c r="AM134" s="14"/>
      <c r="AN134" s="14"/>
      <c r="AO134" s="19"/>
      <c r="AP134" s="96"/>
      <c r="AQ134" s="94"/>
      <c r="AR134" s="94"/>
      <c r="AS134" s="14"/>
      <c r="AT134" s="14"/>
      <c r="AU134" s="14"/>
      <c r="AV134" s="14"/>
      <c r="AW134" s="19"/>
      <c r="AX134" s="96"/>
      <c r="AY134" s="94"/>
      <c r="AZ134" s="94"/>
      <c r="BA134" s="14"/>
      <c r="BB134" s="14"/>
      <c r="BC134" s="14"/>
      <c r="BD134" s="14"/>
      <c r="BE134" s="19"/>
      <c r="BF134" s="96"/>
      <c r="BG134" s="94"/>
      <c r="BH134" s="94"/>
      <c r="BI134" s="14"/>
      <c r="BJ134" s="14"/>
      <c r="BK134" s="14"/>
      <c r="BL134" s="14"/>
      <c r="BM134" s="19"/>
      <c r="BN134" s="96"/>
      <c r="BO134" s="94"/>
      <c r="BP134" s="94"/>
      <c r="BQ134" s="14"/>
      <c r="BR134" s="14"/>
      <c r="BS134" s="14"/>
      <c r="BT134" s="14"/>
      <c r="BU134" s="19"/>
      <c r="BV134" s="96"/>
      <c r="BW134" s="94"/>
      <c r="BX134" s="94"/>
      <c r="BY134" s="14"/>
      <c r="BZ134" s="14"/>
      <c r="CA134" s="14"/>
      <c r="CB134" s="14"/>
      <c r="CC134" s="19"/>
      <c r="CD134" s="96"/>
      <c r="CE134" s="94"/>
      <c r="CF134" s="94"/>
      <c r="CG134" s="14"/>
      <c r="CH134" s="14"/>
      <c r="CI134" s="14"/>
      <c r="CJ134" s="14"/>
      <c r="CK134" s="19"/>
      <c r="CL134" s="96"/>
      <c r="CM134" s="94"/>
      <c r="CN134" s="94"/>
      <c r="CO134" s="14"/>
      <c r="CP134" s="14"/>
      <c r="CQ134" s="14"/>
      <c r="CR134" s="14"/>
      <c r="CS134" s="19"/>
      <c r="CT134" s="96"/>
      <c r="CU134" s="94"/>
      <c r="CV134" s="94"/>
      <c r="CW134" s="14"/>
      <c r="CX134" s="14"/>
      <c r="CY134" s="14"/>
      <c r="CZ134" s="14"/>
      <c r="DA134" s="19"/>
      <c r="DB134" s="96"/>
      <c r="DC134" s="94"/>
      <c r="DD134" s="94"/>
      <c r="DE134" s="14"/>
      <c r="DF134" s="14"/>
      <c r="DG134" s="14"/>
      <c r="DH134" s="14"/>
      <c r="DI134" s="19"/>
      <c r="DJ134" s="96"/>
      <c r="DK134" s="94"/>
      <c r="DL134" s="94"/>
      <c r="DM134" s="14"/>
      <c r="DN134" s="14"/>
      <c r="DO134" s="14"/>
      <c r="DP134" s="14"/>
      <c r="DQ134" s="19"/>
      <c r="DR134" s="96"/>
      <c r="DS134" s="94"/>
      <c r="DT134" s="94"/>
      <c r="DU134" s="14"/>
      <c r="DV134" s="14"/>
      <c r="DW134" s="14"/>
      <c r="DX134" s="14"/>
      <c r="DY134" s="19"/>
      <c r="DZ134" s="96"/>
      <c r="EA134" s="94"/>
      <c r="EB134" s="94"/>
      <c r="EC134" s="14"/>
      <c r="ED134" s="14"/>
      <c r="EE134" s="14"/>
      <c r="EF134" s="14"/>
      <c r="EG134" s="19"/>
      <c r="EH134" s="96"/>
      <c r="EI134" s="94"/>
      <c r="EJ134" s="94"/>
      <c r="EK134" s="14"/>
      <c r="EL134" s="14"/>
      <c r="EM134" s="14"/>
      <c r="EN134" s="14"/>
      <c r="EO134" s="19"/>
      <c r="EP134" s="96"/>
      <c r="EQ134" s="94"/>
      <c r="ER134" s="94"/>
      <c r="ES134" s="14"/>
      <c r="ET134" s="14"/>
      <c r="EU134" s="14"/>
      <c r="EV134" s="14"/>
      <c r="EW134" s="19"/>
      <c r="EX134" s="96"/>
      <c r="EY134" s="94"/>
      <c r="EZ134" s="94"/>
      <c r="FA134" s="14"/>
      <c r="FB134" s="14"/>
      <c r="FC134" s="14"/>
      <c r="FD134" s="14"/>
      <c r="FE134" s="19"/>
      <c r="FF134" s="96"/>
      <c r="FG134" s="94"/>
      <c r="FH134" s="94"/>
      <c r="FI134" s="14"/>
      <c r="FJ134" s="14"/>
      <c r="FK134" s="14"/>
      <c r="FL134" s="14"/>
      <c r="FM134" s="19"/>
      <c r="FN134" s="96"/>
      <c r="FO134" s="94"/>
      <c r="FP134" s="94"/>
      <c r="FQ134" s="14"/>
      <c r="FR134" s="14"/>
      <c r="FS134" s="14"/>
      <c r="FT134" s="14"/>
      <c r="FU134" s="19"/>
      <c r="FV134" s="96"/>
      <c r="FW134" s="94"/>
      <c r="FX134" s="94"/>
      <c r="FY134" s="14"/>
      <c r="FZ134" s="14"/>
      <c r="GA134" s="14"/>
      <c r="GB134" s="14"/>
      <c r="GC134" s="19"/>
      <c r="GD134" s="96"/>
      <c r="GE134" s="94"/>
      <c r="GF134" s="94"/>
      <c r="GG134" s="14"/>
      <c r="GH134" s="14"/>
      <c r="GI134" s="14"/>
      <c r="GJ134" s="14"/>
      <c r="GK134" s="19"/>
      <c r="GL134" s="96"/>
      <c r="GM134" s="94"/>
      <c r="GN134" s="94"/>
      <c r="GO134" s="14"/>
      <c r="GP134" s="14"/>
      <c r="GQ134" s="14"/>
      <c r="GR134" s="14"/>
      <c r="GS134" s="19"/>
      <c r="GT134" s="96"/>
      <c r="GU134" s="94"/>
      <c r="GV134" s="94"/>
      <c r="GW134" s="14"/>
      <c r="GX134" s="14"/>
      <c r="GY134" s="14"/>
      <c r="GZ134" s="14"/>
      <c r="HA134" s="19"/>
      <c r="HB134" s="96"/>
      <c r="HC134" s="94"/>
      <c r="HD134" s="94"/>
      <c r="HE134" s="14"/>
      <c r="HF134" s="14"/>
      <c r="HG134" s="14"/>
      <c r="HH134" s="14"/>
      <c r="HI134" s="19"/>
      <c r="HJ134" s="96"/>
      <c r="HK134" s="94"/>
      <c r="HL134" s="94"/>
      <c r="HM134" s="14"/>
      <c r="HN134" s="14"/>
      <c r="HO134" s="14"/>
      <c r="HP134" s="14"/>
      <c r="HQ134" s="19"/>
      <c r="HR134" s="96"/>
      <c r="HS134" s="94"/>
      <c r="HT134" s="94"/>
      <c r="HU134" s="14"/>
      <c r="HV134" s="14"/>
      <c r="HW134" s="14"/>
      <c r="HX134" s="14"/>
      <c r="HY134" s="19"/>
      <c r="HZ134" s="96"/>
      <c r="IA134" s="94"/>
      <c r="IB134" s="94"/>
      <c r="IC134" s="14"/>
      <c r="ID134" s="14"/>
      <c r="IE134" s="14"/>
      <c r="IF134" s="14"/>
      <c r="IG134" s="19"/>
      <c r="IH134" s="96"/>
      <c r="II134" s="94"/>
      <c r="IJ134" s="94"/>
      <c r="IK134" s="14"/>
      <c r="IL134" s="14"/>
      <c r="IM134" s="14"/>
      <c r="IN134" s="14"/>
    </row>
    <row r="135" spans="1:248" s="13" customFormat="1" ht="15.75" customHeight="1">
      <c r="A135" s="49">
        <v>3</v>
      </c>
      <c r="B135" s="61" t="s">
        <v>390</v>
      </c>
      <c r="C135" s="35"/>
      <c r="D135" s="35"/>
      <c r="E135" s="37"/>
      <c r="F135" s="37"/>
      <c r="G135" s="77"/>
      <c r="H135" s="41">
        <v>1823938</v>
      </c>
      <c r="I135" s="155" t="s">
        <v>417</v>
      </c>
      <c r="L135" s="96"/>
      <c r="M135" s="94"/>
      <c r="N135" s="14"/>
      <c r="O135" s="14"/>
      <c r="P135" s="14"/>
      <c r="Q135" s="19"/>
      <c r="R135" s="96"/>
      <c r="S135" s="94"/>
      <c r="T135" s="94"/>
      <c r="U135" s="14"/>
      <c r="V135" s="14"/>
      <c r="W135" s="14"/>
      <c r="X135" s="14"/>
      <c r="Y135" s="19"/>
      <c r="Z135" s="96"/>
      <c r="AA135" s="94"/>
      <c r="AB135" s="94"/>
      <c r="AC135" s="14"/>
      <c r="AD135" s="14"/>
      <c r="AE135" s="14"/>
      <c r="AF135" s="14"/>
      <c r="AG135" s="19"/>
      <c r="AH135" s="96"/>
      <c r="AI135" s="94"/>
      <c r="AJ135" s="94"/>
      <c r="AK135" s="14"/>
      <c r="AL135" s="14"/>
      <c r="AM135" s="14"/>
      <c r="AN135" s="14"/>
      <c r="AO135" s="19"/>
      <c r="AP135" s="96"/>
      <c r="AQ135" s="94"/>
      <c r="AR135" s="94"/>
      <c r="AS135" s="14"/>
      <c r="AT135" s="14"/>
      <c r="AU135" s="14"/>
      <c r="AV135" s="14"/>
      <c r="AW135" s="19"/>
      <c r="AX135" s="96"/>
      <c r="AY135" s="94"/>
      <c r="AZ135" s="94"/>
      <c r="BA135" s="14"/>
      <c r="BB135" s="14"/>
      <c r="BC135" s="14"/>
      <c r="BD135" s="14"/>
      <c r="BE135" s="19"/>
      <c r="BF135" s="96"/>
      <c r="BG135" s="94"/>
      <c r="BH135" s="94"/>
      <c r="BI135" s="14"/>
      <c r="BJ135" s="14"/>
      <c r="BK135" s="14"/>
      <c r="BL135" s="14"/>
      <c r="BM135" s="19"/>
      <c r="BN135" s="96"/>
      <c r="BO135" s="94"/>
      <c r="BP135" s="94"/>
      <c r="BQ135" s="14"/>
      <c r="BR135" s="14"/>
      <c r="BS135" s="14"/>
      <c r="BT135" s="14"/>
      <c r="BU135" s="19"/>
      <c r="BV135" s="96"/>
      <c r="BW135" s="94"/>
      <c r="BX135" s="94"/>
      <c r="BY135" s="14"/>
      <c r="BZ135" s="14"/>
      <c r="CA135" s="14"/>
      <c r="CB135" s="14"/>
      <c r="CC135" s="19"/>
      <c r="CD135" s="96"/>
      <c r="CE135" s="94"/>
      <c r="CF135" s="94"/>
      <c r="CG135" s="14"/>
      <c r="CH135" s="14"/>
      <c r="CI135" s="14"/>
      <c r="CJ135" s="14"/>
      <c r="CK135" s="19"/>
      <c r="CL135" s="96"/>
      <c r="CM135" s="94"/>
      <c r="CN135" s="94"/>
      <c r="CO135" s="14"/>
      <c r="CP135" s="14"/>
      <c r="CQ135" s="14"/>
      <c r="CR135" s="14"/>
      <c r="CS135" s="19"/>
      <c r="CT135" s="96"/>
      <c r="CU135" s="94"/>
      <c r="CV135" s="94"/>
      <c r="CW135" s="14"/>
      <c r="CX135" s="14"/>
      <c r="CY135" s="14"/>
      <c r="CZ135" s="14"/>
      <c r="DA135" s="19"/>
      <c r="DB135" s="96"/>
      <c r="DC135" s="94"/>
      <c r="DD135" s="94"/>
      <c r="DE135" s="14"/>
      <c r="DF135" s="14"/>
      <c r="DG135" s="14"/>
      <c r="DH135" s="14"/>
      <c r="DI135" s="19"/>
      <c r="DJ135" s="96"/>
      <c r="DK135" s="94"/>
      <c r="DL135" s="94"/>
      <c r="DM135" s="14"/>
      <c r="DN135" s="14"/>
      <c r="DO135" s="14"/>
      <c r="DP135" s="14"/>
      <c r="DQ135" s="19"/>
      <c r="DR135" s="96"/>
      <c r="DS135" s="94"/>
      <c r="DT135" s="94"/>
      <c r="DU135" s="14"/>
      <c r="DV135" s="14"/>
      <c r="DW135" s="14"/>
      <c r="DX135" s="14"/>
      <c r="DY135" s="19"/>
      <c r="DZ135" s="96"/>
      <c r="EA135" s="94"/>
      <c r="EB135" s="94"/>
      <c r="EC135" s="14"/>
      <c r="ED135" s="14"/>
      <c r="EE135" s="14"/>
      <c r="EF135" s="14"/>
      <c r="EG135" s="19"/>
      <c r="EH135" s="96"/>
      <c r="EI135" s="94"/>
      <c r="EJ135" s="94"/>
      <c r="EK135" s="14"/>
      <c r="EL135" s="14"/>
      <c r="EM135" s="14"/>
      <c r="EN135" s="14"/>
      <c r="EO135" s="19"/>
      <c r="EP135" s="96"/>
      <c r="EQ135" s="94"/>
      <c r="ER135" s="94"/>
      <c r="ES135" s="14"/>
      <c r="ET135" s="14"/>
      <c r="EU135" s="14"/>
      <c r="EV135" s="14"/>
      <c r="EW135" s="19"/>
      <c r="EX135" s="96"/>
      <c r="EY135" s="94"/>
      <c r="EZ135" s="94"/>
      <c r="FA135" s="14"/>
      <c r="FB135" s="14"/>
      <c r="FC135" s="14"/>
      <c r="FD135" s="14"/>
      <c r="FE135" s="19"/>
      <c r="FF135" s="96"/>
      <c r="FG135" s="94"/>
      <c r="FH135" s="94"/>
      <c r="FI135" s="14"/>
      <c r="FJ135" s="14"/>
      <c r="FK135" s="14"/>
      <c r="FL135" s="14"/>
      <c r="FM135" s="19"/>
      <c r="FN135" s="96"/>
      <c r="FO135" s="94"/>
      <c r="FP135" s="94"/>
      <c r="FQ135" s="14"/>
      <c r="FR135" s="14"/>
      <c r="FS135" s="14"/>
      <c r="FT135" s="14"/>
      <c r="FU135" s="19"/>
      <c r="FV135" s="96"/>
      <c r="FW135" s="94"/>
      <c r="FX135" s="94"/>
      <c r="FY135" s="14"/>
      <c r="FZ135" s="14"/>
      <c r="GA135" s="14"/>
      <c r="GB135" s="14"/>
      <c r="GC135" s="19"/>
      <c r="GD135" s="96"/>
      <c r="GE135" s="94"/>
      <c r="GF135" s="94"/>
      <c r="GG135" s="14"/>
      <c r="GH135" s="14"/>
      <c r="GI135" s="14"/>
      <c r="GJ135" s="14"/>
      <c r="GK135" s="19"/>
      <c r="GL135" s="96"/>
      <c r="GM135" s="94"/>
      <c r="GN135" s="94"/>
      <c r="GO135" s="14"/>
      <c r="GP135" s="14"/>
      <c r="GQ135" s="14"/>
      <c r="GR135" s="14"/>
      <c r="GS135" s="19"/>
      <c r="GT135" s="96"/>
      <c r="GU135" s="94"/>
      <c r="GV135" s="94"/>
      <c r="GW135" s="14"/>
      <c r="GX135" s="14"/>
      <c r="GY135" s="14"/>
      <c r="GZ135" s="14"/>
      <c r="HA135" s="19"/>
      <c r="HB135" s="96"/>
      <c r="HC135" s="94"/>
      <c r="HD135" s="94"/>
      <c r="HE135" s="14"/>
      <c r="HF135" s="14"/>
      <c r="HG135" s="14"/>
      <c r="HH135" s="14"/>
      <c r="HI135" s="19"/>
      <c r="HJ135" s="96"/>
      <c r="HK135" s="94"/>
      <c r="HL135" s="94"/>
      <c r="HM135" s="14"/>
      <c r="HN135" s="14"/>
      <c r="HO135" s="14"/>
      <c r="HP135" s="14"/>
      <c r="HQ135" s="19"/>
      <c r="HR135" s="96"/>
      <c r="HS135" s="94"/>
      <c r="HT135" s="94"/>
      <c r="HU135" s="14"/>
      <c r="HV135" s="14"/>
      <c r="HW135" s="14"/>
      <c r="HX135" s="14"/>
      <c r="HY135" s="19"/>
      <c r="HZ135" s="96"/>
      <c r="IA135" s="94"/>
      <c r="IB135" s="94"/>
      <c r="IC135" s="14"/>
      <c r="ID135" s="14"/>
      <c r="IE135" s="14"/>
      <c r="IF135" s="14"/>
      <c r="IG135" s="19"/>
      <c r="IH135" s="96"/>
      <c r="II135" s="94"/>
      <c r="IJ135" s="94"/>
      <c r="IK135" s="14"/>
      <c r="IL135" s="14"/>
      <c r="IM135" s="14"/>
      <c r="IN135" s="14"/>
    </row>
    <row r="136" spans="1:248" s="13" customFormat="1" ht="22.5" customHeight="1">
      <c r="A136" s="49"/>
      <c r="B136" s="5" t="s">
        <v>174</v>
      </c>
      <c r="C136" s="46"/>
      <c r="D136" s="33"/>
      <c r="E136" s="53"/>
      <c r="F136" s="53"/>
      <c r="G136" s="62"/>
      <c r="H136" s="71">
        <f>H131+H132</f>
        <v>3756449.987155552</v>
      </c>
      <c r="I136" s="95"/>
      <c r="J136" s="23"/>
      <c r="K136" s="94"/>
      <c r="L136" s="139"/>
      <c r="M136" s="14"/>
      <c r="N136" s="14"/>
      <c r="O136" s="14"/>
      <c r="P136" s="14"/>
      <c r="Q136" s="19"/>
      <c r="S136" s="94"/>
      <c r="T136" s="94"/>
      <c r="U136" s="14"/>
      <c r="V136" s="14"/>
      <c r="W136" s="14"/>
      <c r="X136" s="14"/>
      <c r="Y136" s="19"/>
      <c r="AA136" s="94"/>
      <c r="AB136" s="94"/>
      <c r="AC136" s="14"/>
      <c r="AD136" s="14"/>
      <c r="AE136" s="14"/>
      <c r="AF136" s="14"/>
      <c r="AG136" s="19"/>
      <c r="AI136" s="94"/>
      <c r="AJ136" s="94"/>
      <c r="AK136" s="14"/>
      <c r="AL136" s="14"/>
      <c r="AM136" s="14"/>
      <c r="AN136" s="14"/>
      <c r="AO136" s="19"/>
      <c r="AQ136" s="94"/>
      <c r="AR136" s="94"/>
      <c r="AS136" s="14"/>
      <c r="AT136" s="14"/>
      <c r="AU136" s="14"/>
      <c r="AV136" s="14"/>
      <c r="AW136" s="19"/>
      <c r="AY136" s="94"/>
      <c r="AZ136" s="94"/>
      <c r="BA136" s="14"/>
      <c r="BB136" s="14"/>
      <c r="BC136" s="14"/>
      <c r="BD136" s="14"/>
      <c r="BE136" s="19"/>
      <c r="BG136" s="94"/>
      <c r="BH136" s="94"/>
      <c r="BI136" s="14"/>
      <c r="BJ136" s="14"/>
      <c r="BK136" s="14"/>
      <c r="BL136" s="14"/>
      <c r="BM136" s="19"/>
      <c r="BO136" s="94"/>
      <c r="BP136" s="94"/>
      <c r="BQ136" s="14"/>
      <c r="BR136" s="14"/>
      <c r="BS136" s="14"/>
      <c r="BT136" s="14"/>
      <c r="BU136" s="19"/>
      <c r="BW136" s="94"/>
      <c r="BX136" s="94"/>
      <c r="BY136" s="14"/>
      <c r="BZ136" s="14"/>
      <c r="CA136" s="14"/>
      <c r="CB136" s="14"/>
      <c r="CC136" s="19"/>
      <c r="CE136" s="94"/>
      <c r="CF136" s="94"/>
      <c r="CG136" s="14"/>
      <c r="CH136" s="14"/>
      <c r="CI136" s="14"/>
      <c r="CJ136" s="14"/>
      <c r="CK136" s="19"/>
      <c r="CM136" s="94"/>
      <c r="CN136" s="94"/>
      <c r="CO136" s="14"/>
      <c r="CP136" s="14"/>
      <c r="CQ136" s="14"/>
      <c r="CR136" s="14"/>
      <c r="CS136" s="19"/>
      <c r="CU136" s="94"/>
      <c r="CV136" s="94"/>
      <c r="CW136" s="14"/>
      <c r="CX136" s="14"/>
      <c r="CY136" s="14"/>
      <c r="CZ136" s="14"/>
      <c r="DA136" s="19"/>
      <c r="DC136" s="94"/>
      <c r="DD136" s="94"/>
      <c r="DE136" s="14"/>
      <c r="DF136" s="14"/>
      <c r="DG136" s="14"/>
      <c r="DH136" s="14"/>
      <c r="DI136" s="19"/>
      <c r="DK136" s="94"/>
      <c r="DL136" s="94"/>
      <c r="DM136" s="14"/>
      <c r="DN136" s="14"/>
      <c r="DO136" s="14"/>
      <c r="DP136" s="14"/>
      <c r="DQ136" s="19"/>
      <c r="DS136" s="94"/>
      <c r="DT136" s="94"/>
      <c r="DU136" s="14"/>
      <c r="DV136" s="14"/>
      <c r="DW136" s="14"/>
      <c r="DX136" s="14"/>
      <c r="DY136" s="19"/>
      <c r="EA136" s="94"/>
      <c r="EB136" s="94"/>
      <c r="EC136" s="14"/>
      <c r="ED136" s="14"/>
      <c r="EE136" s="14"/>
      <c r="EF136" s="14"/>
      <c r="EG136" s="19"/>
      <c r="EI136" s="94"/>
      <c r="EJ136" s="94"/>
      <c r="EK136" s="14"/>
      <c r="EL136" s="14"/>
      <c r="EM136" s="14"/>
      <c r="EN136" s="14"/>
      <c r="EO136" s="19"/>
      <c r="EQ136" s="94"/>
      <c r="ER136" s="94"/>
      <c r="ES136" s="14"/>
      <c r="ET136" s="14"/>
      <c r="EU136" s="14"/>
      <c r="EV136" s="14"/>
      <c r="EW136" s="19"/>
      <c r="EY136" s="94"/>
      <c r="EZ136" s="94"/>
      <c r="FA136" s="14"/>
      <c r="FB136" s="14"/>
      <c r="FC136" s="14"/>
      <c r="FD136" s="14"/>
      <c r="FE136" s="19"/>
      <c r="FG136" s="94"/>
      <c r="FH136" s="94"/>
      <c r="FI136" s="14"/>
      <c r="FJ136" s="14"/>
      <c r="FK136" s="14"/>
      <c r="FL136" s="14"/>
      <c r="FM136" s="19"/>
      <c r="FO136" s="94"/>
      <c r="FP136" s="94"/>
      <c r="FQ136" s="14"/>
      <c r="FR136" s="14"/>
      <c r="FS136" s="14"/>
      <c r="FT136" s="14"/>
      <c r="FU136" s="19"/>
      <c r="FW136" s="94"/>
      <c r="FX136" s="94"/>
      <c r="FY136" s="14"/>
      <c r="FZ136" s="14"/>
      <c r="GA136" s="14"/>
      <c r="GB136" s="14"/>
      <c r="GC136" s="19"/>
      <c r="GE136" s="94"/>
      <c r="GF136" s="94"/>
      <c r="GG136" s="14"/>
      <c r="GH136" s="14"/>
      <c r="GI136" s="14"/>
      <c r="GJ136" s="14"/>
      <c r="GK136" s="19"/>
      <c r="GM136" s="94"/>
      <c r="GN136" s="94"/>
      <c r="GO136" s="14"/>
      <c r="GP136" s="14"/>
      <c r="GQ136" s="14"/>
      <c r="GR136" s="14"/>
      <c r="GS136" s="19"/>
      <c r="GU136" s="94"/>
      <c r="GV136" s="94"/>
      <c r="GW136" s="14"/>
      <c r="GX136" s="14"/>
      <c r="GY136" s="14"/>
      <c r="GZ136" s="14"/>
      <c r="HA136" s="19"/>
      <c r="HC136" s="94"/>
      <c r="HD136" s="94"/>
      <c r="HE136" s="14"/>
      <c r="HF136" s="14"/>
      <c r="HG136" s="14"/>
      <c r="HH136" s="14"/>
      <c r="HI136" s="19"/>
      <c r="HK136" s="94"/>
      <c r="HL136" s="94"/>
      <c r="HM136" s="14"/>
      <c r="HN136" s="14"/>
      <c r="HO136" s="14"/>
      <c r="HP136" s="14"/>
      <c r="HQ136" s="19"/>
      <c r="HS136" s="94"/>
      <c r="HT136" s="94"/>
      <c r="HU136" s="14"/>
      <c r="HV136" s="14"/>
      <c r="HW136" s="14"/>
      <c r="HX136" s="14"/>
      <c r="HY136" s="19"/>
      <c r="IA136" s="94"/>
      <c r="IB136" s="94"/>
      <c r="IC136" s="14"/>
      <c r="ID136" s="14"/>
      <c r="IE136" s="14"/>
      <c r="IF136" s="14"/>
      <c r="IG136" s="19"/>
      <c r="II136" s="94"/>
      <c r="IJ136" s="94"/>
      <c r="IK136" s="14"/>
      <c r="IL136" s="14"/>
      <c r="IM136" s="14"/>
      <c r="IN136" s="14"/>
    </row>
    <row r="137" spans="1:12" ht="32.25" customHeight="1">
      <c r="A137" s="181" t="s">
        <v>52</v>
      </c>
      <c r="B137" s="184"/>
      <c r="C137" s="184"/>
      <c r="D137" s="184"/>
      <c r="E137" s="184"/>
      <c r="F137" s="184"/>
      <c r="G137" s="184"/>
      <c r="H137" s="10"/>
      <c r="I137" s="3"/>
      <c r="J137" s="47"/>
      <c r="L137" s="47"/>
    </row>
    <row r="138" spans="1:10" ht="12.75">
      <c r="A138" s="115"/>
      <c r="B138" s="166"/>
      <c r="C138" s="29"/>
      <c r="D138" s="29"/>
      <c r="E138" s="29"/>
      <c r="F138" s="29"/>
      <c r="G138" s="29"/>
      <c r="H138" s="72"/>
      <c r="I138" s="2"/>
      <c r="J138" s="137"/>
    </row>
    <row r="139" spans="1:9" ht="12.75">
      <c r="A139" s="49"/>
      <c r="B139" s="93"/>
      <c r="C139" s="37"/>
      <c r="D139" s="37"/>
      <c r="E139" s="37"/>
      <c r="F139" s="37"/>
      <c r="G139" s="37"/>
      <c r="H139" s="92"/>
      <c r="I139" s="3"/>
    </row>
    <row r="140" spans="1:9" ht="12.75">
      <c r="A140" s="185" t="s">
        <v>11</v>
      </c>
      <c r="B140" s="178"/>
      <c r="C140" s="178"/>
      <c r="D140" s="178"/>
      <c r="E140" s="178"/>
      <c r="F140" s="178"/>
      <c r="G140" s="178"/>
      <c r="H140" s="178"/>
      <c r="I140" s="3"/>
    </row>
    <row r="141" spans="1:9" ht="12.75">
      <c r="A141" s="185" t="s">
        <v>12</v>
      </c>
      <c r="B141" s="178"/>
      <c r="C141" s="178"/>
      <c r="D141" s="178"/>
      <c r="E141" s="178"/>
      <c r="F141" s="178"/>
      <c r="G141" s="178"/>
      <c r="H141" s="178"/>
      <c r="I141" s="3"/>
    </row>
    <row r="142" spans="1:9" ht="12.75">
      <c r="A142" s="35">
        <v>1</v>
      </c>
      <c r="B142" s="32" t="s">
        <v>200</v>
      </c>
      <c r="C142" s="3"/>
      <c r="D142" s="3"/>
      <c r="E142" s="37"/>
      <c r="F142" s="37"/>
      <c r="G142" s="37"/>
      <c r="H142" s="45"/>
      <c r="I142" s="3"/>
    </row>
    <row r="143" spans="1:9" ht="14.25">
      <c r="A143" s="3"/>
      <c r="B143" s="73" t="s">
        <v>65</v>
      </c>
      <c r="C143" s="35" t="s">
        <v>48</v>
      </c>
      <c r="D143" s="35">
        <v>118</v>
      </c>
      <c r="E143" s="85">
        <v>1</v>
      </c>
      <c r="F143" s="38">
        <v>1</v>
      </c>
      <c r="G143" s="37">
        <f aca="true" t="shared" si="5" ref="G143:G151">D143*E143*F143</f>
        <v>118</v>
      </c>
      <c r="H143" s="41">
        <f>599503/39878.339*G143</f>
        <v>1773.929300315141</v>
      </c>
      <c r="I143" s="3"/>
    </row>
    <row r="144" spans="1:9" ht="14.25">
      <c r="A144" s="3"/>
      <c r="B144" s="73" t="s">
        <v>66</v>
      </c>
      <c r="C144" s="35" t="s">
        <v>63</v>
      </c>
      <c r="D144" s="35">
        <v>236</v>
      </c>
      <c r="E144" s="85">
        <v>3</v>
      </c>
      <c r="F144" s="38">
        <v>0.042</v>
      </c>
      <c r="G144" s="78">
        <f t="shared" si="5"/>
        <v>29.736</v>
      </c>
      <c r="H144" s="41">
        <f aca="true" t="shared" si="6" ref="H144:H184">599503/39878.339*G144</f>
        <v>447.03018367941553</v>
      </c>
      <c r="I144" s="3"/>
    </row>
    <row r="145" spans="1:9" ht="12.75">
      <c r="A145" s="3"/>
      <c r="B145" s="73" t="s">
        <v>195</v>
      </c>
      <c r="C145" s="35" t="s">
        <v>63</v>
      </c>
      <c r="D145" s="35">
        <v>50</v>
      </c>
      <c r="E145" s="38">
        <v>1</v>
      </c>
      <c r="F145" s="38">
        <v>1.111</v>
      </c>
      <c r="G145" s="78">
        <f t="shared" si="5"/>
        <v>55.55</v>
      </c>
      <c r="H145" s="41">
        <f t="shared" si="6"/>
        <v>835.0997680720855</v>
      </c>
      <c r="I145" s="3"/>
    </row>
    <row r="146" spans="1:9" ht="12.75">
      <c r="A146" s="3"/>
      <c r="B146" s="73" t="s">
        <v>196</v>
      </c>
      <c r="C146" s="35" t="s">
        <v>63</v>
      </c>
      <c r="D146" s="35">
        <v>50</v>
      </c>
      <c r="E146" s="38">
        <v>1</v>
      </c>
      <c r="F146" s="38">
        <v>3.333</v>
      </c>
      <c r="G146" s="78">
        <f t="shared" si="5"/>
        <v>166.65</v>
      </c>
      <c r="H146" s="41">
        <f t="shared" si="6"/>
        <v>2505.2993042162566</v>
      </c>
      <c r="I146" s="3"/>
    </row>
    <row r="147" spans="1:9" ht="12.75">
      <c r="A147" s="3"/>
      <c r="B147" s="73" t="s">
        <v>197</v>
      </c>
      <c r="C147" s="35" t="s">
        <v>63</v>
      </c>
      <c r="D147" s="35">
        <v>1000</v>
      </c>
      <c r="E147" s="38">
        <v>1</v>
      </c>
      <c r="F147" s="38">
        <v>0.04</v>
      </c>
      <c r="G147" s="43">
        <f t="shared" si="5"/>
        <v>40</v>
      </c>
      <c r="H147" s="41">
        <f t="shared" si="6"/>
        <v>601.3319662085224</v>
      </c>
      <c r="I147" s="3"/>
    </row>
    <row r="148" spans="1:9" ht="12.75">
      <c r="A148" s="3"/>
      <c r="B148" s="73" t="s">
        <v>198</v>
      </c>
      <c r="C148" s="35" t="s">
        <v>199</v>
      </c>
      <c r="D148" s="35">
        <v>1.5</v>
      </c>
      <c r="E148" s="38">
        <v>1</v>
      </c>
      <c r="F148" s="91">
        <v>14.286</v>
      </c>
      <c r="G148" s="78">
        <f t="shared" si="5"/>
        <v>21.429</v>
      </c>
      <c r="H148" s="41">
        <f t="shared" si="6"/>
        <v>322.14856759706066</v>
      </c>
      <c r="I148" s="3"/>
    </row>
    <row r="149" spans="1:9" ht="14.25">
      <c r="A149" s="3"/>
      <c r="B149" s="73" t="s">
        <v>90</v>
      </c>
      <c r="C149" s="35" t="s">
        <v>48</v>
      </c>
      <c r="D149" s="35">
        <v>4</v>
      </c>
      <c r="E149" s="85">
        <v>11</v>
      </c>
      <c r="F149" s="38">
        <v>1</v>
      </c>
      <c r="G149" s="78">
        <f t="shared" si="5"/>
        <v>44</v>
      </c>
      <c r="H149" s="41">
        <f t="shared" si="6"/>
        <v>661.4651628293747</v>
      </c>
      <c r="I149" s="3"/>
    </row>
    <row r="150" spans="1:9" ht="14.25">
      <c r="A150" s="3"/>
      <c r="B150" s="73" t="s">
        <v>350</v>
      </c>
      <c r="C150" s="35" t="s">
        <v>48</v>
      </c>
      <c r="D150" s="35">
        <f>3*8*10</f>
        <v>240</v>
      </c>
      <c r="E150" s="85">
        <v>4</v>
      </c>
      <c r="F150" s="38">
        <v>1</v>
      </c>
      <c r="G150" s="78">
        <f t="shared" si="5"/>
        <v>960</v>
      </c>
      <c r="H150" s="41">
        <f t="shared" si="6"/>
        <v>14431.967189004537</v>
      </c>
      <c r="I150" s="3"/>
    </row>
    <row r="151" spans="1:9" ht="14.25">
      <c r="A151" s="3"/>
      <c r="B151" s="73" t="s">
        <v>87</v>
      </c>
      <c r="C151" s="35" t="s">
        <v>48</v>
      </c>
      <c r="D151" s="35">
        <v>16</v>
      </c>
      <c r="E151" s="85">
        <f>4*3</f>
        <v>12</v>
      </c>
      <c r="F151" s="38">
        <v>1</v>
      </c>
      <c r="G151" s="37">
        <f t="shared" si="5"/>
        <v>192</v>
      </c>
      <c r="H151" s="41">
        <f t="shared" si="6"/>
        <v>2886.3934378009076</v>
      </c>
      <c r="I151" s="3"/>
    </row>
    <row r="152" spans="1:9" ht="12.75">
      <c r="A152" s="3">
        <v>2</v>
      </c>
      <c r="B152" s="32" t="s">
        <v>201</v>
      </c>
      <c r="C152" s="3"/>
      <c r="D152" s="3"/>
      <c r="E152" s="37"/>
      <c r="F152" s="38"/>
      <c r="G152" s="37"/>
      <c r="H152" s="41">
        <f t="shared" si="6"/>
        <v>0</v>
      </c>
      <c r="I152" s="3"/>
    </row>
    <row r="153" spans="1:9" ht="12.75">
      <c r="A153" s="73"/>
      <c r="B153" s="32" t="s">
        <v>202</v>
      </c>
      <c r="C153" s="3"/>
      <c r="D153" s="3"/>
      <c r="E153" s="37"/>
      <c r="F153" s="37"/>
      <c r="G153" s="37"/>
      <c r="H153" s="41">
        <f t="shared" si="6"/>
        <v>0</v>
      </c>
      <c r="I153" s="3"/>
    </row>
    <row r="154" spans="1:9" ht="14.25">
      <c r="A154" s="90"/>
      <c r="B154" s="73" t="s">
        <v>53</v>
      </c>
      <c r="C154" s="35" t="s">
        <v>54</v>
      </c>
      <c r="D154" s="35">
        <v>4000</v>
      </c>
      <c r="E154" s="85">
        <v>4</v>
      </c>
      <c r="F154" s="38">
        <v>0.056</v>
      </c>
      <c r="G154" s="37">
        <f aca="true" t="shared" si="7" ref="G154:G162">D154*E154*F154</f>
        <v>896</v>
      </c>
      <c r="H154" s="41">
        <f t="shared" si="6"/>
        <v>13469.836043070902</v>
      </c>
      <c r="I154" s="3"/>
    </row>
    <row r="155" spans="1:9" ht="14.25">
      <c r="A155" s="90"/>
      <c r="B155" s="3" t="s">
        <v>55</v>
      </c>
      <c r="C155" s="35" t="s">
        <v>56</v>
      </c>
      <c r="D155" s="35">
        <v>4000</v>
      </c>
      <c r="E155" s="85">
        <v>3</v>
      </c>
      <c r="F155" s="38">
        <v>0.12</v>
      </c>
      <c r="G155" s="37">
        <f t="shared" si="7"/>
        <v>1440</v>
      </c>
      <c r="H155" s="41">
        <f t="shared" si="6"/>
        <v>21647.950783506807</v>
      </c>
      <c r="I155" s="3"/>
    </row>
    <row r="156" spans="1:9" ht="14.25">
      <c r="A156" s="89"/>
      <c r="B156" s="84" t="s">
        <v>57</v>
      </c>
      <c r="C156" s="35" t="s">
        <v>56</v>
      </c>
      <c r="D156" s="35">
        <v>1000</v>
      </c>
      <c r="E156" s="85">
        <v>2</v>
      </c>
      <c r="F156" s="38">
        <v>0.062</v>
      </c>
      <c r="G156" s="37">
        <f t="shared" si="7"/>
        <v>124</v>
      </c>
      <c r="H156" s="41">
        <f t="shared" si="6"/>
        <v>1864.1290952464194</v>
      </c>
      <c r="I156" s="3"/>
    </row>
    <row r="157" spans="1:9" ht="14.25">
      <c r="A157" s="90"/>
      <c r="B157" s="3" t="s">
        <v>58</v>
      </c>
      <c r="C157" s="35" t="s">
        <v>54</v>
      </c>
      <c r="D157" s="35">
        <v>1000</v>
      </c>
      <c r="E157" s="85">
        <v>3</v>
      </c>
      <c r="F157" s="38">
        <v>0.04</v>
      </c>
      <c r="G157" s="37">
        <f t="shared" si="7"/>
        <v>120</v>
      </c>
      <c r="H157" s="41">
        <f t="shared" si="6"/>
        <v>1803.9958986255672</v>
      </c>
      <c r="I157" s="3"/>
    </row>
    <row r="158" spans="1:9" ht="14.25">
      <c r="A158" s="90"/>
      <c r="B158" s="3" t="s">
        <v>59</v>
      </c>
      <c r="C158" s="35" t="s">
        <v>54</v>
      </c>
      <c r="D158" s="35">
        <v>4000</v>
      </c>
      <c r="E158" s="85">
        <v>1</v>
      </c>
      <c r="F158" s="38">
        <v>0.03</v>
      </c>
      <c r="G158" s="37">
        <f t="shared" si="7"/>
        <v>120</v>
      </c>
      <c r="H158" s="41">
        <f t="shared" si="6"/>
        <v>1803.9958986255672</v>
      </c>
      <c r="I158" s="3"/>
    </row>
    <row r="159" spans="1:9" ht="14.25">
      <c r="A159" s="90"/>
      <c r="B159" s="3" t="s">
        <v>60</v>
      </c>
      <c r="C159" s="35" t="s">
        <v>54</v>
      </c>
      <c r="D159" s="35">
        <v>4000</v>
      </c>
      <c r="E159" s="85">
        <v>1</v>
      </c>
      <c r="F159" s="38">
        <v>0.036</v>
      </c>
      <c r="G159" s="37">
        <f t="shared" si="7"/>
        <v>144</v>
      </c>
      <c r="H159" s="41">
        <f t="shared" si="6"/>
        <v>2164.795078350681</v>
      </c>
      <c r="I159" s="3"/>
    </row>
    <row r="160" spans="1:9" ht="14.25">
      <c r="A160" s="90"/>
      <c r="B160" s="3" t="s">
        <v>61</v>
      </c>
      <c r="C160" s="35" t="s">
        <v>54</v>
      </c>
      <c r="D160" s="35">
        <v>50</v>
      </c>
      <c r="E160" s="85">
        <v>2</v>
      </c>
      <c r="F160" s="38">
        <v>0.019</v>
      </c>
      <c r="G160" s="37">
        <f t="shared" si="7"/>
        <v>1.9</v>
      </c>
      <c r="H160" s="41">
        <f t="shared" si="6"/>
        <v>28.563268394904814</v>
      </c>
      <c r="I160" s="3"/>
    </row>
    <row r="161" spans="1:9" ht="14.25">
      <c r="A161" s="90"/>
      <c r="B161" s="3" t="s">
        <v>62</v>
      </c>
      <c r="C161" s="35" t="s">
        <v>54</v>
      </c>
      <c r="D161" s="35">
        <v>4000</v>
      </c>
      <c r="E161" s="85">
        <v>1</v>
      </c>
      <c r="F161" s="38">
        <v>0.056</v>
      </c>
      <c r="G161" s="37">
        <f t="shared" si="7"/>
        <v>224</v>
      </c>
      <c r="H161" s="41">
        <f t="shared" si="6"/>
        <v>3367.4590107677254</v>
      </c>
      <c r="I161" s="3"/>
    </row>
    <row r="162" spans="1:9" ht="14.25">
      <c r="A162" s="73"/>
      <c r="B162" s="3" t="s">
        <v>64</v>
      </c>
      <c r="C162" s="35" t="s">
        <v>63</v>
      </c>
      <c r="D162" s="35">
        <v>5</v>
      </c>
      <c r="E162" s="85">
        <v>1</v>
      </c>
      <c r="F162" s="38">
        <v>19.2</v>
      </c>
      <c r="G162" s="37">
        <f t="shared" si="7"/>
        <v>96</v>
      </c>
      <c r="H162" s="41">
        <f t="shared" si="6"/>
        <v>1443.1967189004538</v>
      </c>
      <c r="I162" s="3"/>
    </row>
    <row r="163" spans="1:9" ht="12.75">
      <c r="A163" s="73">
        <v>3</v>
      </c>
      <c r="B163" s="2" t="s">
        <v>93</v>
      </c>
      <c r="C163" s="35"/>
      <c r="D163" s="35"/>
      <c r="E163" s="37"/>
      <c r="F163" s="37"/>
      <c r="G163" s="37"/>
      <c r="H163" s="41">
        <f t="shared" si="6"/>
        <v>0</v>
      </c>
      <c r="I163" s="3"/>
    </row>
    <row r="164" spans="1:9" ht="14.25">
      <c r="A164" s="90"/>
      <c r="B164" s="3" t="s">
        <v>68</v>
      </c>
      <c r="C164" s="35" t="s">
        <v>56</v>
      </c>
      <c r="D164" s="35">
        <v>2000</v>
      </c>
      <c r="E164" s="85">
        <v>3</v>
      </c>
      <c r="F164" s="38">
        <v>0.099</v>
      </c>
      <c r="G164" s="37">
        <f aca="true" t="shared" si="8" ref="G164:G169">D164*E164*F164</f>
        <v>594</v>
      </c>
      <c r="H164" s="41">
        <f t="shared" si="6"/>
        <v>8929.779698196557</v>
      </c>
      <c r="I164" s="3"/>
    </row>
    <row r="165" spans="1:9" ht="14.25">
      <c r="A165" s="73"/>
      <c r="B165" s="3" t="s">
        <v>69</v>
      </c>
      <c r="C165" s="35" t="s">
        <v>56</v>
      </c>
      <c r="D165" s="35">
        <v>4000</v>
      </c>
      <c r="E165" s="85">
        <v>1</v>
      </c>
      <c r="F165" s="38">
        <v>0.048</v>
      </c>
      <c r="G165" s="37">
        <f t="shared" si="8"/>
        <v>192</v>
      </c>
      <c r="H165" s="41">
        <f t="shared" si="6"/>
        <v>2886.3934378009076</v>
      </c>
      <c r="I165" s="3"/>
    </row>
    <row r="166" spans="1:9" ht="14.25">
      <c r="A166" s="89"/>
      <c r="B166" s="84" t="s">
        <v>70</v>
      </c>
      <c r="C166" s="35" t="s">
        <v>63</v>
      </c>
      <c r="D166" s="35">
        <v>67100</v>
      </c>
      <c r="E166" s="85">
        <v>3</v>
      </c>
      <c r="F166" s="38">
        <v>0.056</v>
      </c>
      <c r="G166" s="78">
        <f t="shared" si="8"/>
        <v>11272.800000000001</v>
      </c>
      <c r="H166" s="41">
        <f t="shared" si="6"/>
        <v>169467.3747168858</v>
      </c>
      <c r="I166" s="3"/>
    </row>
    <row r="167" spans="1:9" ht="14.25">
      <c r="A167" s="73"/>
      <c r="B167" s="3" t="s">
        <v>71</v>
      </c>
      <c r="C167" s="35" t="s">
        <v>63</v>
      </c>
      <c r="D167" s="35">
        <v>80000</v>
      </c>
      <c r="E167" s="85">
        <v>1</v>
      </c>
      <c r="F167" s="38">
        <v>0.026</v>
      </c>
      <c r="G167" s="78">
        <f t="shared" si="8"/>
        <v>2080</v>
      </c>
      <c r="H167" s="41">
        <f t="shared" si="6"/>
        <v>31269.262242843164</v>
      </c>
      <c r="I167" s="3"/>
    </row>
    <row r="168" spans="1:9" ht="14.25">
      <c r="A168" s="73"/>
      <c r="B168" s="3" t="s">
        <v>72</v>
      </c>
      <c r="C168" s="35" t="s">
        <v>63</v>
      </c>
      <c r="D168" s="35">
        <v>50000</v>
      </c>
      <c r="E168" s="85">
        <v>1</v>
      </c>
      <c r="F168" s="38">
        <v>0.013</v>
      </c>
      <c r="G168" s="78">
        <f t="shared" si="8"/>
        <v>650</v>
      </c>
      <c r="H168" s="41">
        <f t="shared" si="6"/>
        <v>9771.644450888489</v>
      </c>
      <c r="I168" s="3"/>
    </row>
    <row r="169" spans="1:9" ht="14.25">
      <c r="A169" s="73"/>
      <c r="B169" s="3" t="s">
        <v>73</v>
      </c>
      <c r="C169" s="35" t="s">
        <v>51</v>
      </c>
      <c r="D169" s="35">
        <v>22834</v>
      </c>
      <c r="E169" s="85">
        <v>3</v>
      </c>
      <c r="F169" s="38">
        <v>0.156</v>
      </c>
      <c r="G169" s="78">
        <f t="shared" si="8"/>
        <v>10686.312</v>
      </c>
      <c r="H169" s="41">
        <f t="shared" si="6"/>
        <v>160650.5251619432</v>
      </c>
      <c r="I169" s="3"/>
    </row>
    <row r="170" spans="1:9" ht="12.75">
      <c r="A170" s="73">
        <v>4</v>
      </c>
      <c r="B170" s="2" t="s">
        <v>74</v>
      </c>
      <c r="C170" s="35"/>
      <c r="D170" s="35"/>
      <c r="E170" s="37"/>
      <c r="F170" s="37"/>
      <c r="G170" s="37"/>
      <c r="H170" s="41">
        <f t="shared" si="6"/>
        <v>0</v>
      </c>
      <c r="I170" s="3"/>
    </row>
    <row r="171" spans="1:9" ht="14.25">
      <c r="A171" s="73"/>
      <c r="B171" s="3" t="s">
        <v>75</v>
      </c>
      <c r="C171" s="35" t="s">
        <v>56</v>
      </c>
      <c r="D171" s="35">
        <v>5762</v>
      </c>
      <c r="E171" s="85">
        <v>2</v>
      </c>
      <c r="F171" s="38">
        <v>0.137</v>
      </c>
      <c r="G171" s="78">
        <f aca="true" t="shared" si="9" ref="G171:G181">D171*E171*F171</f>
        <v>1578.788</v>
      </c>
      <c r="H171" s="41">
        <f t="shared" si="6"/>
        <v>23734.392306660517</v>
      </c>
      <c r="I171" s="3"/>
    </row>
    <row r="172" spans="1:9" ht="14.25">
      <c r="A172" s="73"/>
      <c r="B172" s="3" t="s">
        <v>76</v>
      </c>
      <c r="C172" s="35" t="s">
        <v>43</v>
      </c>
      <c r="D172" s="35">
        <v>70</v>
      </c>
      <c r="E172" s="85">
        <v>1</v>
      </c>
      <c r="F172" s="38">
        <v>3.448</v>
      </c>
      <c r="G172" s="78">
        <f t="shared" si="9"/>
        <v>241.35999999999999</v>
      </c>
      <c r="H172" s="41">
        <f t="shared" si="6"/>
        <v>3628.4370841022237</v>
      </c>
      <c r="I172" s="3"/>
    </row>
    <row r="173" spans="1:9" ht="25.5">
      <c r="A173" s="89"/>
      <c r="B173" s="84" t="s">
        <v>77</v>
      </c>
      <c r="C173" s="35" t="s">
        <v>43</v>
      </c>
      <c r="D173" s="35">
        <v>80</v>
      </c>
      <c r="E173" s="85">
        <v>3</v>
      </c>
      <c r="F173" s="38">
        <v>6.667</v>
      </c>
      <c r="G173" s="78">
        <f t="shared" si="9"/>
        <v>1600.08</v>
      </c>
      <c r="H173" s="41">
        <f t="shared" si="6"/>
        <v>24054.48131227331</v>
      </c>
      <c r="I173" s="3"/>
    </row>
    <row r="174" spans="1:9" ht="14.25">
      <c r="A174" s="73"/>
      <c r="B174" s="3" t="s">
        <v>78</v>
      </c>
      <c r="C174" s="35" t="s">
        <v>43</v>
      </c>
      <c r="D174" s="35">
        <v>99.11</v>
      </c>
      <c r="E174" s="85">
        <v>4</v>
      </c>
      <c r="F174" s="38">
        <v>0.273</v>
      </c>
      <c r="G174" s="78">
        <f t="shared" si="9"/>
        <v>108.22812</v>
      </c>
      <c r="H174" s="41">
        <f t="shared" si="6"/>
        <v>1627.0257049662978</v>
      </c>
      <c r="I174" s="3"/>
    </row>
    <row r="175" spans="1:9" ht="14.25">
      <c r="A175" s="73"/>
      <c r="B175" s="3" t="s">
        <v>79</v>
      </c>
      <c r="C175" s="35" t="s">
        <v>51</v>
      </c>
      <c r="D175" s="35">
        <v>35000</v>
      </c>
      <c r="E175" s="85">
        <v>1</v>
      </c>
      <c r="F175" s="38">
        <v>0.02</v>
      </c>
      <c r="G175" s="78">
        <f t="shared" si="9"/>
        <v>700</v>
      </c>
      <c r="H175" s="41">
        <f t="shared" si="6"/>
        <v>10523.309408649142</v>
      </c>
      <c r="I175" s="3"/>
    </row>
    <row r="176" spans="1:9" ht="25.5">
      <c r="A176" s="89"/>
      <c r="B176" s="84" t="s">
        <v>80</v>
      </c>
      <c r="C176" s="35" t="s">
        <v>56</v>
      </c>
      <c r="D176" s="35">
        <v>1000</v>
      </c>
      <c r="E176" s="85">
        <v>1</v>
      </c>
      <c r="F176" s="38">
        <v>0.126</v>
      </c>
      <c r="G176" s="78">
        <f t="shared" si="9"/>
        <v>126</v>
      </c>
      <c r="H176" s="41">
        <f t="shared" si="6"/>
        <v>1894.1956935568455</v>
      </c>
      <c r="I176" s="3"/>
    </row>
    <row r="177" spans="1:9" ht="14.25">
      <c r="A177" s="89"/>
      <c r="B177" s="84" t="s">
        <v>81</v>
      </c>
      <c r="C177" s="35" t="s">
        <v>82</v>
      </c>
      <c r="D177" s="35">
        <v>100</v>
      </c>
      <c r="E177" s="85">
        <v>1</v>
      </c>
      <c r="F177" s="38">
        <v>7.111</v>
      </c>
      <c r="G177" s="78">
        <f t="shared" si="9"/>
        <v>711.1</v>
      </c>
      <c r="H177" s="41">
        <f t="shared" si="6"/>
        <v>10690.179029272007</v>
      </c>
      <c r="I177" s="3"/>
    </row>
    <row r="178" spans="1:9" ht="14.25">
      <c r="A178" s="73"/>
      <c r="B178" s="84" t="s">
        <v>83</v>
      </c>
      <c r="C178" s="35" t="s">
        <v>82</v>
      </c>
      <c r="D178" s="35">
        <v>15</v>
      </c>
      <c r="E178" s="85">
        <v>1</v>
      </c>
      <c r="F178" s="38">
        <v>7.822</v>
      </c>
      <c r="G178" s="78">
        <f t="shared" si="9"/>
        <v>117.33</v>
      </c>
      <c r="H178" s="41">
        <f t="shared" si="6"/>
        <v>1763.8569898811484</v>
      </c>
      <c r="I178" s="3"/>
    </row>
    <row r="179" spans="1:9" ht="14.25">
      <c r="A179" s="73"/>
      <c r="B179" s="3" t="s">
        <v>84</v>
      </c>
      <c r="C179" s="35" t="s">
        <v>63</v>
      </c>
      <c r="D179" s="35">
        <v>1000</v>
      </c>
      <c r="E179" s="85">
        <v>1</v>
      </c>
      <c r="F179" s="38">
        <v>0.067</v>
      </c>
      <c r="G179" s="78">
        <f t="shared" si="9"/>
        <v>67</v>
      </c>
      <c r="H179" s="41">
        <f t="shared" si="6"/>
        <v>1007.231043399275</v>
      </c>
      <c r="I179" s="3"/>
    </row>
    <row r="180" spans="1:9" ht="14.25">
      <c r="A180" s="73"/>
      <c r="B180" s="3" t="s">
        <v>85</v>
      </c>
      <c r="C180" s="35" t="s">
        <v>67</v>
      </c>
      <c r="D180" s="35">
        <v>144</v>
      </c>
      <c r="E180" s="85">
        <v>1</v>
      </c>
      <c r="F180" s="38">
        <v>1.111</v>
      </c>
      <c r="G180" s="78">
        <f t="shared" si="9"/>
        <v>159.984</v>
      </c>
      <c r="H180" s="41">
        <f t="shared" si="6"/>
        <v>2405.087332047606</v>
      </c>
      <c r="I180" s="3"/>
    </row>
    <row r="181" spans="1:9" ht="14.25">
      <c r="A181" s="73"/>
      <c r="B181" s="3" t="s">
        <v>86</v>
      </c>
      <c r="C181" s="35" t="s">
        <v>56</v>
      </c>
      <c r="D181" s="35">
        <v>2738</v>
      </c>
      <c r="E181" s="85">
        <v>1</v>
      </c>
      <c r="F181" s="38">
        <v>0.034</v>
      </c>
      <c r="G181" s="78">
        <f t="shared" si="9"/>
        <v>93.09200000000001</v>
      </c>
      <c r="H181" s="41">
        <f t="shared" si="6"/>
        <v>1399.4798849570943</v>
      </c>
      <c r="I181" s="3"/>
    </row>
    <row r="182" spans="1:9" ht="12.75">
      <c r="A182" s="73">
        <v>5</v>
      </c>
      <c r="B182" s="2" t="s">
        <v>88</v>
      </c>
      <c r="C182" s="35"/>
      <c r="D182" s="35"/>
      <c r="E182" s="37"/>
      <c r="F182" s="37"/>
      <c r="G182" s="37"/>
      <c r="H182" s="41">
        <f t="shared" si="6"/>
        <v>0</v>
      </c>
      <c r="I182" s="3"/>
    </row>
    <row r="183" spans="1:9" ht="14.25">
      <c r="A183" s="35"/>
      <c r="B183" s="3" t="s">
        <v>89</v>
      </c>
      <c r="C183" s="35" t="s">
        <v>43</v>
      </c>
      <c r="D183" s="42">
        <v>700</v>
      </c>
      <c r="E183" s="85">
        <v>5</v>
      </c>
      <c r="F183" s="38">
        <v>0.65</v>
      </c>
      <c r="G183" s="37">
        <f>D183*E183*F183</f>
        <v>2275</v>
      </c>
      <c r="H183" s="41">
        <f t="shared" si="6"/>
        <v>34200.75557810971</v>
      </c>
      <c r="I183" s="3"/>
    </row>
    <row r="184" spans="1:9" ht="14.25">
      <c r="A184" s="35"/>
      <c r="B184" s="3" t="s">
        <v>92</v>
      </c>
      <c r="C184" s="35" t="s">
        <v>48</v>
      </c>
      <c r="D184" s="35">
        <f>30*4</f>
        <v>120</v>
      </c>
      <c r="E184" s="85">
        <v>6</v>
      </c>
      <c r="F184" s="38">
        <v>1</v>
      </c>
      <c r="G184" s="37">
        <f>D184*E184*F184</f>
        <v>720</v>
      </c>
      <c r="H184" s="41">
        <f t="shared" si="6"/>
        <v>10823.975391753404</v>
      </c>
      <c r="I184" s="3"/>
    </row>
    <row r="185" spans="1:9" ht="14.25">
      <c r="A185" s="35"/>
      <c r="B185" s="5" t="s">
        <v>243</v>
      </c>
      <c r="C185" s="46"/>
      <c r="D185" s="46"/>
      <c r="E185" s="85"/>
      <c r="F185" s="38"/>
      <c r="G185" s="62">
        <f>SUM(G143:G184)</f>
        <v>38766.33912</v>
      </c>
      <c r="H185" s="40">
        <f>SUM(H143:H184)</f>
        <v>582785.9731433991</v>
      </c>
      <c r="I185" s="3"/>
    </row>
    <row r="186" spans="1:9" ht="14.25">
      <c r="A186" s="35">
        <v>6</v>
      </c>
      <c r="B186" s="5" t="s">
        <v>387</v>
      </c>
      <c r="C186" s="35"/>
      <c r="D186" s="35"/>
      <c r="E186" s="85"/>
      <c r="F186" s="38"/>
      <c r="G186" s="29" t="s">
        <v>264</v>
      </c>
      <c r="H186" s="41"/>
      <c r="I186" s="3"/>
    </row>
    <row r="187" spans="1:9" ht="18" customHeight="1">
      <c r="A187" s="35"/>
      <c r="B187" s="3" t="s">
        <v>323</v>
      </c>
      <c r="C187" s="37" t="s">
        <v>264</v>
      </c>
      <c r="D187" s="35">
        <v>290</v>
      </c>
      <c r="E187" s="85">
        <v>1</v>
      </c>
      <c r="F187" s="38">
        <v>1</v>
      </c>
      <c r="G187" s="35">
        <v>290</v>
      </c>
      <c r="H187" s="41">
        <f aca="true" t="shared" si="10" ref="H187:H194">599503/39878.339*G187</f>
        <v>4359.656755011787</v>
      </c>
      <c r="I187" s="3"/>
    </row>
    <row r="188" spans="1:9" ht="25.5">
      <c r="A188" s="35"/>
      <c r="B188" s="84" t="s">
        <v>308</v>
      </c>
      <c r="C188" s="37" t="s">
        <v>264</v>
      </c>
      <c r="D188" s="35">
        <v>400</v>
      </c>
      <c r="E188" s="85">
        <v>1</v>
      </c>
      <c r="F188" s="38">
        <v>1</v>
      </c>
      <c r="G188" s="35">
        <v>400</v>
      </c>
      <c r="H188" s="41">
        <f t="shared" si="10"/>
        <v>6013.319662085224</v>
      </c>
      <c r="I188" s="3"/>
    </row>
    <row r="189" spans="1:9" ht="14.25">
      <c r="A189" s="35"/>
      <c r="B189" s="3" t="s">
        <v>249</v>
      </c>
      <c r="C189" s="37" t="s">
        <v>264</v>
      </c>
      <c r="D189" s="35">
        <v>180</v>
      </c>
      <c r="E189" s="85">
        <v>1</v>
      </c>
      <c r="F189" s="38">
        <v>1</v>
      </c>
      <c r="G189" s="35">
        <v>180</v>
      </c>
      <c r="H189" s="41">
        <f t="shared" si="10"/>
        <v>2705.993847938351</v>
      </c>
      <c r="I189" s="3"/>
    </row>
    <row r="190" spans="1:9" ht="14.25">
      <c r="A190" s="35"/>
      <c r="B190" s="3" t="s">
        <v>291</v>
      </c>
      <c r="C190" s="37" t="s">
        <v>264</v>
      </c>
      <c r="D190" s="35">
        <v>30</v>
      </c>
      <c r="E190" s="85">
        <v>1</v>
      </c>
      <c r="F190" s="38">
        <v>1</v>
      </c>
      <c r="G190" s="35">
        <v>30</v>
      </c>
      <c r="H190" s="41">
        <f t="shared" si="10"/>
        <v>450.9989746563918</v>
      </c>
      <c r="I190" s="3"/>
    </row>
    <row r="191" spans="1:9" ht="14.25">
      <c r="A191" s="35"/>
      <c r="B191" s="3" t="s">
        <v>250</v>
      </c>
      <c r="C191" s="37" t="s">
        <v>264</v>
      </c>
      <c r="D191" s="35">
        <v>40</v>
      </c>
      <c r="E191" s="85">
        <v>1</v>
      </c>
      <c r="F191" s="38">
        <v>1</v>
      </c>
      <c r="G191" s="35">
        <v>40</v>
      </c>
      <c r="H191" s="41">
        <f t="shared" si="10"/>
        <v>601.3319662085224</v>
      </c>
      <c r="I191" s="3"/>
    </row>
    <row r="192" spans="1:9" ht="14.25">
      <c r="A192" s="35"/>
      <c r="B192" s="3" t="s">
        <v>324</v>
      </c>
      <c r="C192" s="37" t="s">
        <v>264</v>
      </c>
      <c r="D192" s="35">
        <v>24</v>
      </c>
      <c r="E192" s="85">
        <v>1</v>
      </c>
      <c r="F192" s="38">
        <v>1</v>
      </c>
      <c r="G192" s="35">
        <v>24</v>
      </c>
      <c r="H192" s="41">
        <f t="shared" si="10"/>
        <v>360.79917972511345</v>
      </c>
      <c r="I192" s="3"/>
    </row>
    <row r="193" spans="1:9" ht="14.25">
      <c r="A193" s="35"/>
      <c r="B193" s="3" t="s">
        <v>251</v>
      </c>
      <c r="C193" s="37" t="s">
        <v>264</v>
      </c>
      <c r="D193" s="35">
        <v>108</v>
      </c>
      <c r="E193" s="85">
        <v>1</v>
      </c>
      <c r="F193" s="38">
        <v>1</v>
      </c>
      <c r="G193" s="35">
        <v>108</v>
      </c>
      <c r="H193" s="41">
        <f t="shared" si="10"/>
        <v>1623.5963087630105</v>
      </c>
      <c r="I193" s="3"/>
    </row>
    <row r="194" spans="1:9" ht="14.25">
      <c r="A194" s="35"/>
      <c r="B194" s="3" t="s">
        <v>274</v>
      </c>
      <c r="C194" s="37" t="s">
        <v>264</v>
      </c>
      <c r="D194" s="35">
        <v>40</v>
      </c>
      <c r="E194" s="85">
        <v>1</v>
      </c>
      <c r="F194" s="38">
        <v>1</v>
      </c>
      <c r="G194" s="35">
        <v>40</v>
      </c>
      <c r="H194" s="41">
        <f t="shared" si="10"/>
        <v>601.3319662085224</v>
      </c>
      <c r="I194" s="3"/>
    </row>
    <row r="195" spans="1:9" ht="14.25">
      <c r="A195" s="35"/>
      <c r="B195" s="2" t="s">
        <v>243</v>
      </c>
      <c r="C195" s="37"/>
      <c r="D195" s="35"/>
      <c r="E195" s="85"/>
      <c r="F195" s="38"/>
      <c r="G195" s="32">
        <f>SUM(G187:G194)</f>
        <v>1112</v>
      </c>
      <c r="H195" s="40">
        <f>SUM(H187:H194)</f>
        <v>16717.028660596923</v>
      </c>
      <c r="I195" s="3"/>
    </row>
    <row r="196" spans="1:9" ht="20.25" customHeight="1">
      <c r="A196" s="35"/>
      <c r="B196" s="4" t="s">
        <v>379</v>
      </c>
      <c r="C196" s="75"/>
      <c r="D196" s="132"/>
      <c r="E196" s="85"/>
      <c r="F196" s="142"/>
      <c r="G196" s="143">
        <f>G185+G195</f>
        <v>39878.33912</v>
      </c>
      <c r="H196" s="36">
        <f>H185+H195</f>
        <v>599503.001803996</v>
      </c>
      <c r="I196" s="3"/>
    </row>
    <row r="197" spans="1:9" ht="14.25">
      <c r="A197" s="35">
        <v>7</v>
      </c>
      <c r="B197" s="5" t="s">
        <v>94</v>
      </c>
      <c r="C197" s="46"/>
      <c r="D197" s="46"/>
      <c r="E197" s="85"/>
      <c r="F197" s="38"/>
      <c r="G197" s="62"/>
      <c r="H197" s="40"/>
      <c r="I197" s="3"/>
    </row>
    <row r="198" spans="1:9" ht="14.25">
      <c r="A198" s="3"/>
      <c r="B198" s="73" t="s">
        <v>246</v>
      </c>
      <c r="C198" s="35" t="s">
        <v>48</v>
      </c>
      <c r="D198" s="35">
        <v>14116</v>
      </c>
      <c r="E198" s="85">
        <v>1</v>
      </c>
      <c r="F198" s="38">
        <v>1</v>
      </c>
      <c r="G198" s="78">
        <f aca="true" t="shared" si="11" ref="G198:G205">D198*E198*F198</f>
        <v>14116</v>
      </c>
      <c r="H198" s="41">
        <v>262678</v>
      </c>
      <c r="I198" s="32" t="s">
        <v>418</v>
      </c>
    </row>
    <row r="199" spans="1:10" ht="14.25">
      <c r="A199" s="73"/>
      <c r="B199" s="3" t="s">
        <v>184</v>
      </c>
      <c r="C199" s="35" t="s">
        <v>48</v>
      </c>
      <c r="D199" s="35">
        <v>2222</v>
      </c>
      <c r="E199" s="85">
        <v>1</v>
      </c>
      <c r="F199" s="38">
        <v>1</v>
      </c>
      <c r="G199" s="37">
        <f t="shared" si="11"/>
        <v>2222</v>
      </c>
      <c r="H199" s="41">
        <v>58486</v>
      </c>
      <c r="I199" s="32" t="s">
        <v>419</v>
      </c>
      <c r="J199" s="11"/>
    </row>
    <row r="200" spans="1:10" ht="14.25">
      <c r="A200" s="73"/>
      <c r="B200" s="3" t="s">
        <v>182</v>
      </c>
      <c r="C200" s="35" t="s">
        <v>48</v>
      </c>
      <c r="D200" s="35">
        <v>507</v>
      </c>
      <c r="E200" s="85">
        <v>1</v>
      </c>
      <c r="F200" s="38">
        <v>1</v>
      </c>
      <c r="G200" s="37">
        <f t="shared" si="11"/>
        <v>507</v>
      </c>
      <c r="H200" s="41">
        <v>9800</v>
      </c>
      <c r="I200" s="29" t="s">
        <v>362</v>
      </c>
      <c r="J200" s="11"/>
    </row>
    <row r="201" spans="1:9" ht="14.25">
      <c r="A201" s="73"/>
      <c r="B201" s="3" t="s">
        <v>247</v>
      </c>
      <c r="C201" s="35" t="s">
        <v>48</v>
      </c>
      <c r="D201" s="35">
        <v>710</v>
      </c>
      <c r="E201" s="85">
        <v>1</v>
      </c>
      <c r="F201" s="38">
        <v>1</v>
      </c>
      <c r="G201" s="78">
        <v>710</v>
      </c>
      <c r="H201" s="41">
        <v>17612</v>
      </c>
      <c r="I201" s="32" t="s">
        <v>420</v>
      </c>
    </row>
    <row r="202" spans="1:9" ht="14.25">
      <c r="A202" s="73"/>
      <c r="B202" s="3" t="s">
        <v>265</v>
      </c>
      <c r="C202" s="35" t="s">
        <v>48</v>
      </c>
      <c r="D202" s="35">
        <v>2057</v>
      </c>
      <c r="E202" s="85">
        <v>1</v>
      </c>
      <c r="F202" s="38">
        <v>1</v>
      </c>
      <c r="G202" s="78">
        <f t="shared" si="11"/>
        <v>2057</v>
      </c>
      <c r="H202" s="41">
        <v>66969</v>
      </c>
      <c r="I202" s="32" t="s">
        <v>421</v>
      </c>
    </row>
    <row r="203" spans="1:9" ht="14.25">
      <c r="A203" s="73"/>
      <c r="B203" s="3" t="s">
        <v>183</v>
      </c>
      <c r="C203" s="35" t="s">
        <v>48</v>
      </c>
      <c r="D203" s="35">
        <v>224</v>
      </c>
      <c r="E203" s="85">
        <v>1</v>
      </c>
      <c r="F203" s="38">
        <v>1</v>
      </c>
      <c r="G203" s="78">
        <f t="shared" si="11"/>
        <v>224</v>
      </c>
      <c r="H203" s="41">
        <v>4806</v>
      </c>
      <c r="I203" s="29" t="s">
        <v>361</v>
      </c>
    </row>
    <row r="204" spans="1:9" ht="14.25">
      <c r="A204" s="73"/>
      <c r="B204" s="3" t="s">
        <v>374</v>
      </c>
      <c r="C204" s="35" t="s">
        <v>48</v>
      </c>
      <c r="D204" s="35">
        <v>10</v>
      </c>
      <c r="E204" s="85">
        <v>1</v>
      </c>
      <c r="F204" s="38">
        <v>1</v>
      </c>
      <c r="G204" s="78">
        <f t="shared" si="11"/>
        <v>10</v>
      </c>
      <c r="H204" s="41">
        <v>3163</v>
      </c>
      <c r="I204" s="29" t="s">
        <v>360</v>
      </c>
    </row>
    <row r="205" spans="1:9" ht="14.25">
      <c r="A205" s="73"/>
      <c r="B205" s="3" t="s">
        <v>385</v>
      </c>
      <c r="C205" s="35" t="s">
        <v>48</v>
      </c>
      <c r="D205" s="35">
        <v>711</v>
      </c>
      <c r="E205" s="85">
        <v>1</v>
      </c>
      <c r="F205" s="38">
        <v>1</v>
      </c>
      <c r="G205" s="78">
        <f t="shared" si="11"/>
        <v>711</v>
      </c>
      <c r="H205" s="41">
        <v>21072</v>
      </c>
      <c r="I205" s="29" t="s">
        <v>363</v>
      </c>
    </row>
    <row r="206" spans="1:9" ht="14.25">
      <c r="A206" s="35"/>
      <c r="B206" s="5" t="s">
        <v>243</v>
      </c>
      <c r="C206" s="46"/>
      <c r="D206" s="46"/>
      <c r="E206" s="85"/>
      <c r="F206" s="38"/>
      <c r="G206" s="62">
        <f>SUM(G198:G205)</f>
        <v>20557</v>
      </c>
      <c r="H206" s="40">
        <f>SUM(H198:H205)</f>
        <v>444586</v>
      </c>
      <c r="I206" s="3"/>
    </row>
    <row r="207" spans="1:9" ht="15">
      <c r="A207" s="35"/>
      <c r="B207" s="5" t="s">
        <v>194</v>
      </c>
      <c r="C207" s="37"/>
      <c r="D207" s="35"/>
      <c r="E207" s="85"/>
      <c r="F207" s="38"/>
      <c r="G207" s="136">
        <f>G196+G206</f>
        <v>60435.33912</v>
      </c>
      <c r="H207" s="71">
        <f>H196+H206</f>
        <v>1044089.001803996</v>
      </c>
      <c r="I207" s="3"/>
    </row>
    <row r="208" spans="1:9" ht="12.75">
      <c r="A208" s="29">
        <v>8</v>
      </c>
      <c r="B208" s="2" t="s">
        <v>345</v>
      </c>
      <c r="C208" s="35"/>
      <c r="D208" s="29"/>
      <c r="E208" s="29"/>
      <c r="F208" s="29"/>
      <c r="G208" s="88"/>
      <c r="H208" s="57">
        <f>H209+H210</f>
        <v>24000</v>
      </c>
      <c r="I208" s="3"/>
    </row>
    <row r="209" spans="1:9" ht="12.75">
      <c r="A209" s="29"/>
      <c r="B209" s="2" t="s">
        <v>346</v>
      </c>
      <c r="C209" s="35" t="s">
        <v>63</v>
      </c>
      <c r="D209" s="37">
        <v>2</v>
      </c>
      <c r="E209" s="37"/>
      <c r="F209" s="37"/>
      <c r="G209" s="77"/>
      <c r="H209" s="45">
        <v>15000</v>
      </c>
      <c r="I209" s="3"/>
    </row>
    <row r="210" spans="1:9" ht="12.75">
      <c r="A210" s="29"/>
      <c r="B210" s="2" t="s">
        <v>275</v>
      </c>
      <c r="C210" s="35" t="s">
        <v>63</v>
      </c>
      <c r="D210" s="37">
        <v>2</v>
      </c>
      <c r="E210" s="37"/>
      <c r="F210" s="37"/>
      <c r="G210" s="77"/>
      <c r="H210" s="45">
        <v>9000</v>
      </c>
      <c r="I210" s="3"/>
    </row>
    <row r="211" spans="1:10" ht="18" customHeight="1">
      <c r="A211" s="29"/>
      <c r="B211" s="5" t="s">
        <v>194</v>
      </c>
      <c r="C211" s="53"/>
      <c r="D211" s="53"/>
      <c r="E211" s="53"/>
      <c r="F211" s="53"/>
      <c r="G211" s="62"/>
      <c r="H211" s="30">
        <f>H207+H208</f>
        <v>1068089.001803996</v>
      </c>
      <c r="I211" s="3"/>
      <c r="J211" s="11"/>
    </row>
    <row r="212" spans="1:10" ht="18.75" customHeight="1">
      <c r="A212" s="185" t="s">
        <v>175</v>
      </c>
      <c r="B212" s="178"/>
      <c r="C212" s="178"/>
      <c r="D212" s="178"/>
      <c r="E212" s="178"/>
      <c r="F212" s="178"/>
      <c r="G212" s="178"/>
      <c r="H212" s="178"/>
      <c r="I212" s="3"/>
      <c r="J212" s="11"/>
    </row>
    <row r="213" spans="1:9" ht="27" customHeight="1">
      <c r="A213" s="185" t="s">
        <v>190</v>
      </c>
      <c r="B213" s="178"/>
      <c r="C213" s="178"/>
      <c r="D213" s="178"/>
      <c r="E213" s="178"/>
      <c r="F213" s="178"/>
      <c r="G213" s="178"/>
      <c r="H213" s="178"/>
      <c r="I213" s="97"/>
    </row>
    <row r="214" spans="1:9" ht="12.75">
      <c r="A214" s="29">
        <v>1</v>
      </c>
      <c r="B214" s="29" t="s">
        <v>340</v>
      </c>
      <c r="C214" s="29"/>
      <c r="D214" s="29"/>
      <c r="E214" s="29"/>
      <c r="F214" s="29"/>
      <c r="G214" s="29"/>
      <c r="H214" s="29"/>
      <c r="I214" s="3"/>
    </row>
    <row r="215" spans="1:9" ht="12.75">
      <c r="A215" s="35"/>
      <c r="B215" s="3" t="s">
        <v>99</v>
      </c>
      <c r="C215" s="35" t="s">
        <v>43</v>
      </c>
      <c r="D215" s="34">
        <f>379+2.05+7</f>
        <v>388.05</v>
      </c>
      <c r="E215" s="87">
        <v>220</v>
      </c>
      <c r="F215" s="60">
        <v>0.162</v>
      </c>
      <c r="G215" s="78">
        <f aca="true" t="shared" si="12" ref="G215:G241">D215*E215*F215</f>
        <v>13830.102</v>
      </c>
      <c r="H215" s="41">
        <f>493189/40015.476*G215</f>
        <v>170455.40518568366</v>
      </c>
      <c r="I215" s="3"/>
    </row>
    <row r="216" spans="1:9" ht="12.75">
      <c r="A216" s="35"/>
      <c r="B216" s="3" t="s">
        <v>100</v>
      </c>
      <c r="C216" s="35" t="s">
        <v>43</v>
      </c>
      <c r="D216" s="35">
        <v>498.66</v>
      </c>
      <c r="E216" s="87">
        <v>180</v>
      </c>
      <c r="F216" s="60">
        <v>0.03</v>
      </c>
      <c r="G216" s="78">
        <f t="shared" si="12"/>
        <v>2692.764</v>
      </c>
      <c r="H216" s="41">
        <f aca="true" t="shared" si="13" ref="H216:H241">493189/40015.476*G216</f>
        <v>33188.19909566989</v>
      </c>
      <c r="I216" s="3"/>
    </row>
    <row r="217" spans="1:9" ht="12.75">
      <c r="A217" s="35"/>
      <c r="B217" s="3" t="s">
        <v>101</v>
      </c>
      <c r="C217" s="35" t="s">
        <v>63</v>
      </c>
      <c r="D217" s="35">
        <v>205</v>
      </c>
      <c r="E217" s="60">
        <v>220</v>
      </c>
      <c r="F217" s="60">
        <v>0.125</v>
      </c>
      <c r="G217" s="78">
        <f t="shared" si="12"/>
        <v>5637.5</v>
      </c>
      <c r="H217" s="41">
        <f t="shared" si="13"/>
        <v>69481.94212409218</v>
      </c>
      <c r="I217" s="3"/>
    </row>
    <row r="218" spans="1:9" ht="12.75">
      <c r="A218" s="35"/>
      <c r="B218" s="3" t="s">
        <v>102</v>
      </c>
      <c r="C218" s="35" t="s">
        <v>43</v>
      </c>
      <c r="D218" s="35">
        <v>406.39</v>
      </c>
      <c r="E218" s="60">
        <v>3</v>
      </c>
      <c r="F218" s="60">
        <v>1.6</v>
      </c>
      <c r="G218" s="78">
        <f t="shared" si="12"/>
        <v>1950.6720000000003</v>
      </c>
      <c r="H218" s="41">
        <f t="shared" si="13"/>
        <v>24041.94749571391</v>
      </c>
      <c r="I218" s="3"/>
    </row>
    <row r="219" spans="1:9" ht="12.75">
      <c r="A219" s="35"/>
      <c r="B219" s="3" t="s">
        <v>103</v>
      </c>
      <c r="C219" s="35"/>
      <c r="D219" s="35"/>
      <c r="E219" s="60"/>
      <c r="F219" s="60"/>
      <c r="G219" s="78">
        <f t="shared" si="12"/>
        <v>0</v>
      </c>
      <c r="H219" s="41">
        <f t="shared" si="13"/>
        <v>0</v>
      </c>
      <c r="I219" s="3"/>
    </row>
    <row r="220" spans="1:9" ht="12.75">
      <c r="A220" s="35"/>
      <c r="B220" s="3" t="s">
        <v>104</v>
      </c>
      <c r="C220" s="35" t="s">
        <v>56</v>
      </c>
      <c r="D220" s="35">
        <v>4523</v>
      </c>
      <c r="E220" s="60">
        <v>1</v>
      </c>
      <c r="F220" s="60">
        <v>0.19</v>
      </c>
      <c r="G220" s="78">
        <f t="shared" si="12"/>
        <v>859.37</v>
      </c>
      <c r="H220" s="41">
        <f t="shared" si="13"/>
        <v>10591.697845353632</v>
      </c>
      <c r="I220" s="3"/>
    </row>
    <row r="221" spans="1:9" ht="12.75">
      <c r="A221" s="35"/>
      <c r="B221" s="3" t="s">
        <v>105</v>
      </c>
      <c r="C221" s="35" t="s">
        <v>56</v>
      </c>
      <c r="D221" s="35">
        <v>1802.4</v>
      </c>
      <c r="E221" s="60">
        <v>1</v>
      </c>
      <c r="F221" s="60">
        <v>0.263</v>
      </c>
      <c r="G221" s="78">
        <f t="shared" si="12"/>
        <v>474.03120000000007</v>
      </c>
      <c r="H221" s="41">
        <f t="shared" si="13"/>
        <v>5842.4139074791965</v>
      </c>
      <c r="I221" s="3"/>
    </row>
    <row r="222" spans="1:9" ht="12.75">
      <c r="A222" s="35"/>
      <c r="B222" s="3" t="s">
        <v>106</v>
      </c>
      <c r="C222" s="35" t="s">
        <v>107</v>
      </c>
      <c r="D222" s="35">
        <v>3.5</v>
      </c>
      <c r="E222" s="60">
        <v>14</v>
      </c>
      <c r="F222" s="60">
        <v>1.35</v>
      </c>
      <c r="G222" s="78">
        <f t="shared" si="12"/>
        <v>66.15</v>
      </c>
      <c r="H222" s="41">
        <f t="shared" si="13"/>
        <v>815.2958707775962</v>
      </c>
      <c r="I222" s="3"/>
    </row>
    <row r="223" spans="1:9" ht="12.75">
      <c r="A223" s="35"/>
      <c r="B223" s="3" t="s">
        <v>108</v>
      </c>
      <c r="C223" s="35" t="s">
        <v>67</v>
      </c>
      <c r="D223" s="35">
        <v>2</v>
      </c>
      <c r="E223" s="60">
        <v>12</v>
      </c>
      <c r="F223" s="60">
        <v>2.1</v>
      </c>
      <c r="G223" s="78">
        <f t="shared" si="12"/>
        <v>50.400000000000006</v>
      </c>
      <c r="H223" s="41">
        <f t="shared" si="13"/>
        <v>621.17780630674</v>
      </c>
      <c r="I223" s="3"/>
    </row>
    <row r="224" spans="1:9" ht="12.75">
      <c r="A224" s="35"/>
      <c r="B224" s="3" t="s">
        <v>109</v>
      </c>
      <c r="C224" s="35" t="s">
        <v>107</v>
      </c>
      <c r="D224" s="35">
        <v>1.5</v>
      </c>
      <c r="E224" s="60">
        <v>50</v>
      </c>
      <c r="F224" s="60">
        <v>2.75</v>
      </c>
      <c r="G224" s="78">
        <f t="shared" si="12"/>
        <v>206.25</v>
      </c>
      <c r="H224" s="41">
        <f t="shared" si="13"/>
        <v>2542.0222728326407</v>
      </c>
      <c r="I224" s="3"/>
    </row>
    <row r="225" spans="1:9" ht="12.75">
      <c r="A225" s="35"/>
      <c r="B225" s="3" t="s">
        <v>110</v>
      </c>
      <c r="C225" s="35" t="s">
        <v>107</v>
      </c>
      <c r="D225" s="35">
        <v>1.5</v>
      </c>
      <c r="E225" s="60">
        <v>50</v>
      </c>
      <c r="F225" s="60">
        <v>3.25</v>
      </c>
      <c r="G225" s="78">
        <f t="shared" si="12"/>
        <v>243.75</v>
      </c>
      <c r="H225" s="41">
        <f t="shared" si="13"/>
        <v>3004.208140620394</v>
      </c>
      <c r="I225" s="3"/>
    </row>
    <row r="226" spans="1:9" ht="12.75">
      <c r="A226" s="35"/>
      <c r="B226" s="3" t="s">
        <v>111</v>
      </c>
      <c r="C226" s="35" t="s">
        <v>43</v>
      </c>
      <c r="D226" s="35">
        <v>249.56</v>
      </c>
      <c r="E226" s="60">
        <v>12</v>
      </c>
      <c r="F226" s="60">
        <v>0.03</v>
      </c>
      <c r="G226" s="78">
        <f t="shared" si="12"/>
        <v>89.8416</v>
      </c>
      <c r="H226" s="41">
        <f t="shared" si="13"/>
        <v>1107.2938095850714</v>
      </c>
      <c r="I226" s="3"/>
    </row>
    <row r="227" spans="1:9" ht="12.75">
      <c r="A227" s="35"/>
      <c r="B227" s="3" t="s">
        <v>112</v>
      </c>
      <c r="C227" s="35" t="s">
        <v>43</v>
      </c>
      <c r="D227" s="35">
        <v>169.47</v>
      </c>
      <c r="E227" s="60">
        <v>40</v>
      </c>
      <c r="F227" s="60">
        <v>0.03</v>
      </c>
      <c r="G227" s="78">
        <f t="shared" si="12"/>
        <v>203.364</v>
      </c>
      <c r="H227" s="41">
        <f t="shared" si="13"/>
        <v>2506.4524484476956</v>
      </c>
      <c r="I227" s="3"/>
    </row>
    <row r="228" spans="1:9" ht="12.75">
      <c r="A228" s="35"/>
      <c r="B228" s="3" t="s">
        <v>113</v>
      </c>
      <c r="C228" s="35" t="s">
        <v>43</v>
      </c>
      <c r="D228" s="35">
        <v>4.45</v>
      </c>
      <c r="E228" s="60">
        <v>6</v>
      </c>
      <c r="F228" s="60">
        <v>6.25</v>
      </c>
      <c r="G228" s="78">
        <f t="shared" si="12"/>
        <v>166.87500000000003</v>
      </c>
      <c r="H228" s="41">
        <f t="shared" si="13"/>
        <v>2056.7271116555007</v>
      </c>
      <c r="I228" s="3"/>
    </row>
    <row r="229" spans="1:9" ht="12.75">
      <c r="A229" s="35"/>
      <c r="B229" s="3" t="s">
        <v>114</v>
      </c>
      <c r="C229" s="35" t="s">
        <v>56</v>
      </c>
      <c r="D229" s="35">
        <v>495</v>
      </c>
      <c r="E229" s="60">
        <v>6</v>
      </c>
      <c r="F229" s="60">
        <v>0.075</v>
      </c>
      <c r="G229" s="78">
        <f t="shared" si="12"/>
        <v>222.75</v>
      </c>
      <c r="H229" s="41">
        <f t="shared" si="13"/>
        <v>2745.384054659252</v>
      </c>
      <c r="I229" s="3"/>
    </row>
    <row r="230" spans="1:9" ht="12.75">
      <c r="A230" s="35"/>
      <c r="B230" s="3" t="s">
        <v>115</v>
      </c>
      <c r="C230" s="35" t="s">
        <v>43</v>
      </c>
      <c r="D230" s="35">
        <v>377.28</v>
      </c>
      <c r="E230" s="60">
        <v>6</v>
      </c>
      <c r="F230" s="60">
        <v>0.427</v>
      </c>
      <c r="G230" s="78">
        <f t="shared" si="12"/>
        <v>966.5913599999999</v>
      </c>
      <c r="H230" s="41">
        <f t="shared" si="13"/>
        <v>11913.196440473179</v>
      </c>
      <c r="I230" s="3"/>
    </row>
    <row r="231" spans="1:9" ht="12.75">
      <c r="A231" s="35"/>
      <c r="B231" s="3" t="s">
        <v>116</v>
      </c>
      <c r="C231" s="35" t="s">
        <v>43</v>
      </c>
      <c r="D231" s="35">
        <v>377.32</v>
      </c>
      <c r="E231" s="60">
        <v>6</v>
      </c>
      <c r="F231" s="60">
        <v>1.6</v>
      </c>
      <c r="G231" s="78">
        <f t="shared" si="12"/>
        <v>3622.2720000000004</v>
      </c>
      <c r="H231" s="41">
        <f t="shared" si="13"/>
        <v>44644.34473822078</v>
      </c>
      <c r="I231" s="3"/>
    </row>
    <row r="232" spans="1:9" ht="12.75">
      <c r="A232" s="35"/>
      <c r="B232" s="3" t="s">
        <v>117</v>
      </c>
      <c r="C232" s="35"/>
      <c r="D232" s="35"/>
      <c r="E232" s="60"/>
      <c r="F232" s="60"/>
      <c r="G232" s="78">
        <f t="shared" si="12"/>
        <v>0</v>
      </c>
      <c r="H232" s="41">
        <f t="shared" si="13"/>
        <v>0</v>
      </c>
      <c r="I232" s="3"/>
    </row>
    <row r="233" spans="1:9" ht="12.75">
      <c r="A233" s="35"/>
      <c r="B233" s="3" t="s">
        <v>118</v>
      </c>
      <c r="C233" s="35"/>
      <c r="D233" s="35"/>
      <c r="E233" s="60"/>
      <c r="F233" s="60"/>
      <c r="G233" s="78">
        <f t="shared" si="12"/>
        <v>0</v>
      </c>
      <c r="H233" s="41">
        <f t="shared" si="13"/>
        <v>0</v>
      </c>
      <c r="I233" s="3"/>
    </row>
    <row r="234" spans="1:9" ht="12.75">
      <c r="A234" s="35"/>
      <c r="B234" s="3" t="s">
        <v>119</v>
      </c>
      <c r="C234" s="35" t="s">
        <v>43</v>
      </c>
      <c r="D234" s="35">
        <v>73.35</v>
      </c>
      <c r="E234" s="60">
        <v>42</v>
      </c>
      <c r="F234" s="60">
        <v>1.21</v>
      </c>
      <c r="G234" s="78">
        <f t="shared" si="12"/>
        <v>3727.6469999999995</v>
      </c>
      <c r="H234" s="41">
        <f t="shared" si="13"/>
        <v>45943.08702670436</v>
      </c>
      <c r="I234" s="3"/>
    </row>
    <row r="235" spans="1:9" ht="12.75">
      <c r="A235" s="35"/>
      <c r="B235" s="3" t="s">
        <v>120</v>
      </c>
      <c r="C235" s="35" t="s">
        <v>43</v>
      </c>
      <c r="D235" s="35">
        <v>73.35</v>
      </c>
      <c r="E235" s="60">
        <v>20</v>
      </c>
      <c r="F235" s="60">
        <v>1.43</v>
      </c>
      <c r="G235" s="78">
        <f t="shared" si="12"/>
        <v>2097.81</v>
      </c>
      <c r="H235" s="41">
        <f t="shared" si="13"/>
        <v>25855.416941435356</v>
      </c>
      <c r="I235" s="3"/>
    </row>
    <row r="236" spans="1:9" ht="12.75">
      <c r="A236" s="35"/>
      <c r="B236" s="3" t="s">
        <v>121</v>
      </c>
      <c r="C236" s="35" t="s">
        <v>43</v>
      </c>
      <c r="D236" s="35">
        <v>79.3</v>
      </c>
      <c r="E236" s="60">
        <v>40</v>
      </c>
      <c r="F236" s="60">
        <v>0.4</v>
      </c>
      <c r="G236" s="78">
        <f t="shared" si="12"/>
        <v>1268.8000000000002</v>
      </c>
      <c r="H236" s="41">
        <f t="shared" si="13"/>
        <v>15637.904774642691</v>
      </c>
      <c r="I236" s="3"/>
    </row>
    <row r="237" spans="1:9" ht="12.75">
      <c r="A237" s="35"/>
      <c r="B237" s="3" t="s">
        <v>122</v>
      </c>
      <c r="C237" s="35" t="s">
        <v>63</v>
      </c>
      <c r="D237" s="35">
        <v>140</v>
      </c>
      <c r="E237" s="60">
        <v>20</v>
      </c>
      <c r="F237" s="60">
        <v>0.04</v>
      </c>
      <c r="G237" s="78">
        <f t="shared" si="12"/>
        <v>112</v>
      </c>
      <c r="H237" s="41">
        <f t="shared" si="13"/>
        <v>1380.3951251260887</v>
      </c>
      <c r="I237" s="3"/>
    </row>
    <row r="238" spans="1:9" ht="12.75">
      <c r="A238" s="35"/>
      <c r="B238" s="3" t="s">
        <v>331</v>
      </c>
      <c r="C238" s="35" t="s">
        <v>50</v>
      </c>
      <c r="D238" s="35">
        <v>6.8</v>
      </c>
      <c r="E238" s="60">
        <v>6</v>
      </c>
      <c r="F238" s="60">
        <v>0.92</v>
      </c>
      <c r="G238" s="78">
        <f>D238*E238*F238</f>
        <v>37.536</v>
      </c>
      <c r="H238" s="41">
        <f t="shared" si="13"/>
        <v>462.62956622082913</v>
      </c>
      <c r="I238" s="3"/>
    </row>
    <row r="239" spans="1:9" ht="12.75">
      <c r="A239" s="35"/>
      <c r="B239" s="3" t="s">
        <v>91</v>
      </c>
      <c r="C239" s="35" t="s">
        <v>48</v>
      </c>
      <c r="D239" s="35">
        <f>4*8</f>
        <v>32</v>
      </c>
      <c r="E239" s="60">
        <v>3</v>
      </c>
      <c r="F239" s="60">
        <v>1</v>
      </c>
      <c r="G239" s="78">
        <f t="shared" si="12"/>
        <v>96</v>
      </c>
      <c r="H239" s="41">
        <f t="shared" si="13"/>
        <v>1183.1958215366474</v>
      </c>
      <c r="I239" s="3"/>
    </row>
    <row r="240" spans="1:9" ht="12.75">
      <c r="A240" s="35"/>
      <c r="B240" s="86" t="s">
        <v>244</v>
      </c>
      <c r="C240" s="35" t="s">
        <v>63</v>
      </c>
      <c r="D240" s="35">
        <v>200</v>
      </c>
      <c r="E240" s="60">
        <v>1</v>
      </c>
      <c r="F240" s="60">
        <v>0.115</v>
      </c>
      <c r="G240" s="78">
        <f t="shared" si="12"/>
        <v>23</v>
      </c>
      <c r="H240" s="41">
        <f t="shared" si="13"/>
        <v>283.4739989098218</v>
      </c>
      <c r="I240" s="3"/>
    </row>
    <row r="241" spans="1:9" ht="12.75">
      <c r="A241" s="35"/>
      <c r="B241" s="3" t="s">
        <v>123</v>
      </c>
      <c r="C241" s="35" t="s">
        <v>48</v>
      </c>
      <c r="D241" s="35">
        <f>21*8</f>
        <v>168</v>
      </c>
      <c r="E241" s="60">
        <v>5</v>
      </c>
      <c r="F241" s="60">
        <v>1</v>
      </c>
      <c r="G241" s="78">
        <f t="shared" si="12"/>
        <v>840</v>
      </c>
      <c r="H241" s="41">
        <f t="shared" si="13"/>
        <v>10352.963438445664</v>
      </c>
      <c r="I241" s="3"/>
    </row>
    <row r="242" spans="1:9" ht="12.75">
      <c r="A242" s="35"/>
      <c r="B242" s="2" t="s">
        <v>243</v>
      </c>
      <c r="C242" s="35"/>
      <c r="D242" s="35"/>
      <c r="E242" s="60"/>
      <c r="F242" s="60"/>
      <c r="G242" s="101">
        <f>SUM(G215:G241)</f>
        <v>39485.476160000006</v>
      </c>
      <c r="H242" s="40">
        <f>SUM(H215:H241)</f>
        <v>486656.77504059277</v>
      </c>
      <c r="I242" s="3"/>
    </row>
    <row r="243" spans="1:9" ht="12.75">
      <c r="A243" s="32">
        <v>2</v>
      </c>
      <c r="B243" s="5" t="s">
        <v>387</v>
      </c>
      <c r="C243" s="35"/>
      <c r="D243" s="35"/>
      <c r="E243" s="60"/>
      <c r="F243" s="60"/>
      <c r="G243" s="37" t="s">
        <v>264</v>
      </c>
      <c r="H243" s="41"/>
      <c r="I243" s="3"/>
    </row>
    <row r="244" spans="1:9" ht="12.75">
      <c r="A244" s="35"/>
      <c r="B244" s="3" t="s">
        <v>339</v>
      </c>
      <c r="C244" s="37" t="s">
        <v>264</v>
      </c>
      <c r="D244" s="35">
        <v>400</v>
      </c>
      <c r="E244" s="60">
        <v>1</v>
      </c>
      <c r="F244" s="60">
        <v>1</v>
      </c>
      <c r="G244" s="35">
        <v>400</v>
      </c>
      <c r="H244" s="41">
        <f>493189/40015.476*G244</f>
        <v>4929.982589736031</v>
      </c>
      <c r="I244" s="3"/>
    </row>
    <row r="245" spans="1:9" ht="12.75">
      <c r="A245" s="35"/>
      <c r="B245" s="3" t="s">
        <v>254</v>
      </c>
      <c r="C245" s="37" t="s">
        <v>264</v>
      </c>
      <c r="D245" s="35">
        <v>60</v>
      </c>
      <c r="E245" s="60">
        <v>1</v>
      </c>
      <c r="F245" s="60">
        <v>1</v>
      </c>
      <c r="G245" s="35">
        <v>60</v>
      </c>
      <c r="H245" s="41">
        <f>493189/40015.476*G245</f>
        <v>739.4973884604046</v>
      </c>
      <c r="I245" s="3"/>
    </row>
    <row r="246" spans="1:10" ht="12.75">
      <c r="A246" s="35"/>
      <c r="B246" s="3" t="s">
        <v>255</v>
      </c>
      <c r="C246" s="37" t="s">
        <v>264</v>
      </c>
      <c r="D246" s="35">
        <v>20</v>
      </c>
      <c r="E246" s="60">
        <v>1</v>
      </c>
      <c r="F246" s="60">
        <v>1</v>
      </c>
      <c r="G246" s="35">
        <v>20</v>
      </c>
      <c r="H246" s="41">
        <f>493189/40015.476*G246</f>
        <v>246.49912948680154</v>
      </c>
      <c r="I246" s="3"/>
      <c r="J246" s="11"/>
    </row>
    <row r="247" spans="1:9" ht="12.75">
      <c r="A247" s="35"/>
      <c r="B247" s="3" t="s">
        <v>322</v>
      </c>
      <c r="C247" s="37" t="s">
        <v>264</v>
      </c>
      <c r="D247" s="35">
        <v>50</v>
      </c>
      <c r="E247" s="60">
        <v>1</v>
      </c>
      <c r="F247" s="60">
        <v>1</v>
      </c>
      <c r="G247" s="35">
        <v>50</v>
      </c>
      <c r="H247" s="41">
        <f>493189/40015.476*G247</f>
        <v>616.2478237170038</v>
      </c>
      <c r="I247" s="3"/>
    </row>
    <row r="248" spans="1:9" ht="12.75">
      <c r="A248" s="35"/>
      <c r="B248" s="2" t="s">
        <v>243</v>
      </c>
      <c r="C248" s="35"/>
      <c r="D248" s="35"/>
      <c r="E248" s="60"/>
      <c r="F248" s="60"/>
      <c r="G248" s="31">
        <f>SUM(G244:G247)</f>
        <v>530</v>
      </c>
      <c r="H248" s="40">
        <f>SUM(H244:H247)</f>
        <v>6532.226931400241</v>
      </c>
      <c r="I248" s="3"/>
    </row>
    <row r="249" spans="1:9" ht="18" customHeight="1">
      <c r="A249" s="35"/>
      <c r="B249" s="1" t="s">
        <v>380</v>
      </c>
      <c r="C249" s="132"/>
      <c r="D249" s="132"/>
      <c r="E249" s="132"/>
      <c r="F249" s="132"/>
      <c r="G249" s="135">
        <f>G242+G248</f>
        <v>40015.476160000006</v>
      </c>
      <c r="H249" s="36">
        <f>H242+H248</f>
        <v>493189.001971993</v>
      </c>
      <c r="I249" s="3"/>
    </row>
    <row r="250" spans="1:10" ht="14.25" customHeight="1">
      <c r="A250" s="32">
        <v>3</v>
      </c>
      <c r="B250" s="5" t="s">
        <v>124</v>
      </c>
      <c r="C250" s="35"/>
      <c r="D250" s="35"/>
      <c r="E250" s="60"/>
      <c r="F250" s="60"/>
      <c r="G250" s="78"/>
      <c r="H250" s="41"/>
      <c r="I250" s="29" t="s">
        <v>238</v>
      </c>
      <c r="J250" s="167"/>
    </row>
    <row r="251" spans="1:10" ht="12.75">
      <c r="A251" s="35"/>
      <c r="B251" s="3" t="s">
        <v>367</v>
      </c>
      <c r="C251" s="35" t="s">
        <v>48</v>
      </c>
      <c r="D251" s="78">
        <v>1270</v>
      </c>
      <c r="E251" s="60">
        <v>1</v>
      </c>
      <c r="F251" s="60">
        <v>1</v>
      </c>
      <c r="G251" s="78">
        <v>1270</v>
      </c>
      <c r="H251" s="41">
        <f>49096-16300</f>
        <v>32796</v>
      </c>
      <c r="I251" s="32" t="s">
        <v>357</v>
      </c>
      <c r="J251" s="146"/>
    </row>
    <row r="252" spans="1:10" ht="12.75">
      <c r="A252" s="35"/>
      <c r="B252" s="3" t="s">
        <v>368</v>
      </c>
      <c r="C252" s="35" t="s">
        <v>48</v>
      </c>
      <c r="D252" s="78">
        <v>3717</v>
      </c>
      <c r="E252" s="60">
        <v>1</v>
      </c>
      <c r="F252" s="60">
        <v>1</v>
      </c>
      <c r="G252" s="78">
        <v>3717</v>
      </c>
      <c r="H252" s="41">
        <v>69537</v>
      </c>
      <c r="I252" s="32" t="s">
        <v>351</v>
      </c>
      <c r="J252" s="146"/>
    </row>
    <row r="253" spans="1:10" ht="12.75">
      <c r="A253" s="35"/>
      <c r="B253" s="3" t="s">
        <v>187</v>
      </c>
      <c r="C253" s="35" t="s">
        <v>48</v>
      </c>
      <c r="D253" s="78">
        <v>99</v>
      </c>
      <c r="E253" s="60">
        <v>1</v>
      </c>
      <c r="F253" s="60">
        <v>1</v>
      </c>
      <c r="G253" s="78">
        <v>99</v>
      </c>
      <c r="H253" s="41">
        <v>2393</v>
      </c>
      <c r="I253" s="32" t="s">
        <v>358</v>
      </c>
      <c r="J253" s="146"/>
    </row>
    <row r="254" spans="1:10" ht="12.75">
      <c r="A254" s="35"/>
      <c r="B254" s="3" t="s">
        <v>188</v>
      </c>
      <c r="C254" s="35" t="s">
        <v>48</v>
      </c>
      <c r="D254" s="78">
        <v>30</v>
      </c>
      <c r="E254" s="60">
        <v>1</v>
      </c>
      <c r="F254" s="60">
        <v>1</v>
      </c>
      <c r="G254" s="78">
        <v>30</v>
      </c>
      <c r="H254" s="41">
        <v>612</v>
      </c>
      <c r="I254" s="32" t="s">
        <v>352</v>
      </c>
      <c r="J254" s="146"/>
    </row>
    <row r="255" spans="1:10" ht="25.5">
      <c r="A255" s="35"/>
      <c r="B255" s="84" t="s">
        <v>225</v>
      </c>
      <c r="C255" s="35" t="s">
        <v>48</v>
      </c>
      <c r="D255" s="78">
        <v>6</v>
      </c>
      <c r="E255" s="60">
        <v>1</v>
      </c>
      <c r="F255" s="60">
        <v>1</v>
      </c>
      <c r="G255" s="78">
        <v>6</v>
      </c>
      <c r="H255" s="41">
        <v>133</v>
      </c>
      <c r="I255" s="33" t="s">
        <v>353</v>
      </c>
      <c r="J255" s="146"/>
    </row>
    <row r="256" spans="1:10" ht="12.75">
      <c r="A256" s="35"/>
      <c r="B256" s="84" t="s">
        <v>354</v>
      </c>
      <c r="C256" s="35" t="s">
        <v>48</v>
      </c>
      <c r="D256" s="78">
        <v>25</v>
      </c>
      <c r="E256" s="60">
        <v>1</v>
      </c>
      <c r="F256" s="60">
        <v>1</v>
      </c>
      <c r="G256" s="78">
        <v>25</v>
      </c>
      <c r="H256" s="41">
        <v>1216</v>
      </c>
      <c r="I256" s="33" t="s">
        <v>355</v>
      </c>
      <c r="J256" s="146"/>
    </row>
    <row r="257" spans="1:10" ht="12.75">
      <c r="A257" s="35"/>
      <c r="B257" s="3" t="s">
        <v>235</v>
      </c>
      <c r="C257" s="35" t="s">
        <v>48</v>
      </c>
      <c r="D257" s="35">
        <v>1790</v>
      </c>
      <c r="E257" s="60">
        <v>1</v>
      </c>
      <c r="F257" s="60">
        <v>1</v>
      </c>
      <c r="G257" s="78">
        <v>1790</v>
      </c>
      <c r="H257" s="41">
        <f>45367-16200</f>
        <v>29167</v>
      </c>
      <c r="I257" s="32" t="s">
        <v>365</v>
      </c>
      <c r="J257" s="146"/>
    </row>
    <row r="258" spans="1:10" ht="12.75">
      <c r="A258" s="35"/>
      <c r="B258" s="3" t="s">
        <v>245</v>
      </c>
      <c r="C258" s="35" t="s">
        <v>48</v>
      </c>
      <c r="D258" s="35">
        <v>330</v>
      </c>
      <c r="E258" s="60">
        <v>1</v>
      </c>
      <c r="F258" s="60">
        <v>1</v>
      </c>
      <c r="G258" s="78">
        <v>330</v>
      </c>
      <c r="H258" s="41">
        <v>8154</v>
      </c>
      <c r="I258" s="32">
        <v>418</v>
      </c>
      <c r="J258" s="146"/>
    </row>
    <row r="259" spans="1:9" ht="12.75">
      <c r="A259" s="35"/>
      <c r="B259" s="2" t="s">
        <v>341</v>
      </c>
      <c r="C259" s="35"/>
      <c r="D259" s="35"/>
      <c r="E259" s="60"/>
      <c r="F259" s="60"/>
      <c r="G259" s="31">
        <f>SUM(G251:G258)</f>
        <v>7267</v>
      </c>
      <c r="H259" s="59">
        <f>SUM(H251:H258)</f>
        <v>144008</v>
      </c>
      <c r="I259" s="3"/>
    </row>
    <row r="260" spans="1:9" ht="20.25" customHeight="1">
      <c r="A260" s="35"/>
      <c r="B260" s="5" t="s">
        <v>381</v>
      </c>
      <c r="C260" s="35"/>
      <c r="D260" s="35"/>
      <c r="E260" s="60"/>
      <c r="F260" s="60"/>
      <c r="G260" s="135">
        <f>G249+G259</f>
        <v>47282.476160000006</v>
      </c>
      <c r="H260" s="30">
        <f>H249+H259</f>
        <v>637197.001971993</v>
      </c>
      <c r="I260" s="3"/>
    </row>
    <row r="261" spans="1:9" ht="16.5" customHeight="1">
      <c r="A261" s="35">
        <v>4</v>
      </c>
      <c r="B261" s="2" t="s">
        <v>180</v>
      </c>
      <c r="C261" s="32"/>
      <c r="D261" s="29"/>
      <c r="E261" s="29"/>
      <c r="F261" s="29"/>
      <c r="G261" s="31"/>
      <c r="H261" s="72">
        <f>H262+H263</f>
        <v>257700</v>
      </c>
      <c r="I261" s="3"/>
    </row>
    <row r="262" spans="1:9" ht="14.25" customHeight="1">
      <c r="A262" s="35"/>
      <c r="B262" s="2" t="s">
        <v>189</v>
      </c>
      <c r="C262" s="32" t="s">
        <v>63</v>
      </c>
      <c r="D262" s="29">
        <v>7</v>
      </c>
      <c r="E262" s="37"/>
      <c r="F262" s="37"/>
      <c r="G262" s="77"/>
      <c r="H262" s="72">
        <v>7700</v>
      </c>
      <c r="I262" s="3"/>
    </row>
    <row r="263" spans="1:9" ht="14.25" customHeight="1">
      <c r="A263" s="35"/>
      <c r="B263" s="2" t="s">
        <v>376</v>
      </c>
      <c r="C263" s="32" t="s">
        <v>63</v>
      </c>
      <c r="D263" s="29">
        <v>1</v>
      </c>
      <c r="E263" s="37"/>
      <c r="F263" s="37"/>
      <c r="G263" s="77"/>
      <c r="H263" s="72">
        <v>250000</v>
      </c>
      <c r="I263" s="3"/>
    </row>
    <row r="264" spans="1:10" ht="19.5" customHeight="1">
      <c r="A264" s="83"/>
      <c r="B264" s="5" t="s">
        <v>292</v>
      </c>
      <c r="C264" s="83"/>
      <c r="D264" s="83"/>
      <c r="E264" s="53"/>
      <c r="F264" s="53"/>
      <c r="H264" s="82">
        <f>H260+H261</f>
        <v>894897.001971993</v>
      </c>
      <c r="I264" s="81"/>
      <c r="J264" s="11"/>
    </row>
    <row r="265" spans="1:9" ht="12.75">
      <c r="A265" s="186" t="s">
        <v>176</v>
      </c>
      <c r="B265" s="187"/>
      <c r="C265" s="187"/>
      <c r="D265" s="187"/>
      <c r="E265" s="187"/>
      <c r="F265" s="187"/>
      <c r="G265" s="187"/>
      <c r="H265" s="187"/>
      <c r="I265" s="3"/>
    </row>
    <row r="266" spans="1:9" ht="12.75">
      <c r="A266" s="188" t="s">
        <v>13</v>
      </c>
      <c r="B266" s="180"/>
      <c r="C266" s="180"/>
      <c r="D266" s="180"/>
      <c r="E266" s="180"/>
      <c r="F266" s="180"/>
      <c r="G266" s="180"/>
      <c r="H266" s="180"/>
      <c r="I266" s="3"/>
    </row>
    <row r="267" spans="1:9" ht="21" customHeight="1">
      <c r="A267" s="49">
        <v>1</v>
      </c>
      <c r="B267" s="80" t="s">
        <v>193</v>
      </c>
      <c r="C267" s="37"/>
      <c r="D267" s="37"/>
      <c r="E267" s="37"/>
      <c r="F267" s="37"/>
      <c r="G267" s="31"/>
      <c r="H267" s="55">
        <f>305298+18051</f>
        <v>323349</v>
      </c>
      <c r="I267" s="3"/>
    </row>
    <row r="268" spans="1:9" ht="12.75">
      <c r="A268" s="49">
        <v>2</v>
      </c>
      <c r="B268" s="48" t="s">
        <v>309</v>
      </c>
      <c r="D268" s="37"/>
      <c r="E268" s="37"/>
      <c r="F268" s="37"/>
      <c r="G268" s="77"/>
      <c r="H268" s="45"/>
      <c r="I268" s="3"/>
    </row>
    <row r="269" spans="1:9" ht="12.75">
      <c r="A269" s="49"/>
      <c r="B269" s="3" t="s">
        <v>312</v>
      </c>
      <c r="C269" s="37" t="s">
        <v>216</v>
      </c>
      <c r="D269" s="37">
        <v>300</v>
      </c>
      <c r="E269" s="37">
        <v>1</v>
      </c>
      <c r="F269" s="37">
        <v>0.3</v>
      </c>
      <c r="G269" s="77">
        <f aca="true" t="shared" si="14" ref="G269:G290">D269*E269*F269</f>
        <v>90</v>
      </c>
      <c r="H269" s="41">
        <f>76778/5204.638*G269</f>
        <v>1327.6658242129424</v>
      </c>
      <c r="I269" s="3"/>
    </row>
    <row r="270" spans="1:9" ht="12.75">
      <c r="A270" s="49"/>
      <c r="B270" s="3" t="s">
        <v>203</v>
      </c>
      <c r="C270" s="37"/>
      <c r="D270" s="37">
        <v>956</v>
      </c>
      <c r="E270" s="37">
        <v>1</v>
      </c>
      <c r="F270" s="37">
        <v>0.3</v>
      </c>
      <c r="G270" s="77">
        <f t="shared" si="14"/>
        <v>286.8</v>
      </c>
      <c r="H270" s="41">
        <f aca="true" t="shared" si="15" ref="H270:H291">76778/5204.638*G270</f>
        <v>4230.82842649191</v>
      </c>
      <c r="I270" s="3"/>
    </row>
    <row r="271" spans="1:9" ht="12.75">
      <c r="A271" s="49"/>
      <c r="B271" s="3" t="s">
        <v>204</v>
      </c>
      <c r="C271" s="37"/>
      <c r="D271" s="37">
        <v>956</v>
      </c>
      <c r="E271" s="37">
        <v>1</v>
      </c>
      <c r="F271" s="37">
        <v>0.2</v>
      </c>
      <c r="G271" s="77">
        <f t="shared" si="14"/>
        <v>191.20000000000002</v>
      </c>
      <c r="H271" s="41">
        <f t="shared" si="15"/>
        <v>2820.55228432794</v>
      </c>
      <c r="I271" s="3"/>
    </row>
    <row r="272" spans="1:9" ht="12.75">
      <c r="A272" s="49"/>
      <c r="B272" s="3" t="s">
        <v>205</v>
      </c>
      <c r="C272" s="37"/>
      <c r="D272" s="37"/>
      <c r="E272" s="37"/>
      <c r="F272" s="37"/>
      <c r="G272" s="77">
        <f t="shared" si="14"/>
        <v>0</v>
      </c>
      <c r="H272" s="41">
        <f t="shared" si="15"/>
        <v>0</v>
      </c>
      <c r="I272" s="3"/>
    </row>
    <row r="273" spans="1:9" ht="12.75">
      <c r="A273" s="79"/>
      <c r="B273" s="2" t="s">
        <v>206</v>
      </c>
      <c r="C273" s="37"/>
      <c r="D273" s="37"/>
      <c r="E273" s="37"/>
      <c r="F273" s="37"/>
      <c r="G273" s="77">
        <f t="shared" si="14"/>
        <v>0</v>
      </c>
      <c r="H273" s="41">
        <f t="shared" si="15"/>
        <v>0</v>
      </c>
      <c r="I273" s="3"/>
    </row>
    <row r="274" spans="1:9" ht="12.75">
      <c r="A274" s="49"/>
      <c r="B274" s="3" t="s">
        <v>207</v>
      </c>
      <c r="C274" s="37" t="s">
        <v>217</v>
      </c>
      <c r="D274" s="37">
        <v>229</v>
      </c>
      <c r="E274" s="37">
        <v>4</v>
      </c>
      <c r="F274" s="37">
        <v>0.1</v>
      </c>
      <c r="G274" s="77">
        <f t="shared" si="14"/>
        <v>91.60000000000001</v>
      </c>
      <c r="H274" s="41">
        <f t="shared" si="15"/>
        <v>1351.2687721989505</v>
      </c>
      <c r="I274" s="3"/>
    </row>
    <row r="275" spans="1:9" ht="12.75">
      <c r="A275" s="49"/>
      <c r="B275" s="3" t="s">
        <v>297</v>
      </c>
      <c r="C275" s="37"/>
      <c r="D275" s="37">
        <v>229</v>
      </c>
      <c r="E275" s="37">
        <v>2</v>
      </c>
      <c r="F275" s="37">
        <v>0.2</v>
      </c>
      <c r="G275" s="77">
        <f t="shared" si="14"/>
        <v>91.60000000000001</v>
      </c>
      <c r="H275" s="41">
        <f t="shared" si="15"/>
        <v>1351.2687721989505</v>
      </c>
      <c r="I275" s="3"/>
    </row>
    <row r="276" spans="1:9" ht="12.75">
      <c r="A276" s="49"/>
      <c r="B276" s="3" t="s">
        <v>208</v>
      </c>
      <c r="C276" s="37"/>
      <c r="D276" s="37">
        <v>229</v>
      </c>
      <c r="E276" s="37">
        <v>1</v>
      </c>
      <c r="F276" s="37">
        <v>0.1</v>
      </c>
      <c r="G276" s="77">
        <f t="shared" si="14"/>
        <v>22.900000000000002</v>
      </c>
      <c r="H276" s="41">
        <f t="shared" si="15"/>
        <v>337.8171930497376</v>
      </c>
      <c r="I276" s="3"/>
    </row>
    <row r="277" spans="1:9" ht="12.75">
      <c r="A277" s="49"/>
      <c r="B277" s="2" t="s">
        <v>209</v>
      </c>
      <c r="C277" s="37"/>
      <c r="D277" s="37"/>
      <c r="E277" s="37"/>
      <c r="F277" s="37"/>
      <c r="G277" s="77">
        <f t="shared" si="14"/>
        <v>0</v>
      </c>
      <c r="H277" s="41">
        <f t="shared" si="15"/>
        <v>0</v>
      </c>
      <c r="I277" s="3"/>
    </row>
    <row r="278" spans="1:9" ht="12.75">
      <c r="A278" s="49"/>
      <c r="B278" s="3" t="s">
        <v>210</v>
      </c>
      <c r="C278" s="37" t="s">
        <v>217</v>
      </c>
      <c r="D278" s="37">
        <v>739</v>
      </c>
      <c r="E278" s="37">
        <v>4</v>
      </c>
      <c r="F278" s="37">
        <v>0.15</v>
      </c>
      <c r="G278" s="77">
        <f t="shared" si="14"/>
        <v>443.4</v>
      </c>
      <c r="H278" s="41">
        <f t="shared" si="15"/>
        <v>6540.96696062243</v>
      </c>
      <c r="I278" s="3"/>
    </row>
    <row r="279" spans="1:9" ht="12.75">
      <c r="A279" s="49"/>
      <c r="B279" s="3" t="s">
        <v>298</v>
      </c>
      <c r="C279" s="37"/>
      <c r="D279" s="37">
        <v>739</v>
      </c>
      <c r="E279" s="37">
        <v>2</v>
      </c>
      <c r="F279" s="37">
        <v>0.6</v>
      </c>
      <c r="G279" s="77">
        <f t="shared" si="14"/>
        <v>886.8</v>
      </c>
      <c r="H279" s="41">
        <f t="shared" si="15"/>
        <v>13081.93392124486</v>
      </c>
      <c r="I279" s="3"/>
    </row>
    <row r="280" spans="1:9" ht="12.75">
      <c r="A280" s="49"/>
      <c r="B280" s="3" t="s">
        <v>208</v>
      </c>
      <c r="C280" s="37"/>
      <c r="D280" s="37">
        <v>739</v>
      </c>
      <c r="E280" s="37">
        <v>1</v>
      </c>
      <c r="F280" s="37">
        <v>0.1</v>
      </c>
      <c r="G280" s="77">
        <f t="shared" si="14"/>
        <v>73.9</v>
      </c>
      <c r="H280" s="41">
        <f t="shared" si="15"/>
        <v>1090.1611601037384</v>
      </c>
      <c r="I280" s="3"/>
    </row>
    <row r="281" spans="1:9" ht="12.75">
      <c r="A281" s="49"/>
      <c r="B281" s="2" t="s">
        <v>211</v>
      </c>
      <c r="C281" s="37"/>
      <c r="D281" s="37"/>
      <c r="E281" s="37"/>
      <c r="F281" s="37"/>
      <c r="G281" s="77">
        <f t="shared" si="14"/>
        <v>0</v>
      </c>
      <c r="H281" s="41">
        <f t="shared" si="15"/>
        <v>0</v>
      </c>
      <c r="I281" s="3"/>
    </row>
    <row r="282" spans="1:9" ht="12.75">
      <c r="A282" s="49"/>
      <c r="B282" s="3" t="s">
        <v>212</v>
      </c>
      <c r="C282" s="37" t="s">
        <v>218</v>
      </c>
      <c r="D282" s="37">
        <v>35.4</v>
      </c>
      <c r="E282" s="37">
        <v>1</v>
      </c>
      <c r="F282" s="37">
        <v>2.75</v>
      </c>
      <c r="G282" s="77">
        <f t="shared" si="14"/>
        <v>97.35</v>
      </c>
      <c r="H282" s="41">
        <f t="shared" si="15"/>
        <v>1436.0918665236659</v>
      </c>
      <c r="I282" s="3"/>
    </row>
    <row r="283" spans="1:9" ht="12.75">
      <c r="A283" s="49"/>
      <c r="B283" s="3" t="s">
        <v>349</v>
      </c>
      <c r="C283" s="37"/>
      <c r="D283" s="37"/>
      <c r="E283" s="37"/>
      <c r="F283" s="37"/>
      <c r="G283" s="77">
        <f t="shared" si="14"/>
        <v>0</v>
      </c>
      <c r="H283" s="41">
        <f t="shared" si="15"/>
        <v>0</v>
      </c>
      <c r="I283" s="3"/>
    </row>
    <row r="284" spans="1:9" ht="12.75">
      <c r="A284" s="49"/>
      <c r="B284" s="2" t="s">
        <v>213</v>
      </c>
      <c r="C284" s="37"/>
      <c r="D284" s="37"/>
      <c r="E284" s="37"/>
      <c r="F284" s="37"/>
      <c r="G284" s="77">
        <f t="shared" si="14"/>
        <v>0</v>
      </c>
      <c r="H284" s="41">
        <f t="shared" si="15"/>
        <v>0</v>
      </c>
      <c r="I284" s="3"/>
    </row>
    <row r="285" spans="1:9" ht="12.75">
      <c r="A285" s="49"/>
      <c r="B285" s="3" t="s">
        <v>212</v>
      </c>
      <c r="C285" s="37" t="s">
        <v>219</v>
      </c>
      <c r="D285" s="37">
        <v>31</v>
      </c>
      <c r="E285" s="37">
        <v>12</v>
      </c>
      <c r="F285" s="37">
        <v>0.49</v>
      </c>
      <c r="G285" s="77">
        <f t="shared" si="14"/>
        <v>182.28</v>
      </c>
      <c r="H285" s="41">
        <f t="shared" si="15"/>
        <v>2688.965849305946</v>
      </c>
      <c r="I285" s="3"/>
    </row>
    <row r="286" spans="1:9" ht="12.75">
      <c r="A286" s="49"/>
      <c r="B286" s="3" t="s">
        <v>214</v>
      </c>
      <c r="C286" s="37"/>
      <c r="D286" s="37"/>
      <c r="E286" s="37"/>
      <c r="F286" s="37"/>
      <c r="G286" s="77">
        <f t="shared" si="14"/>
        <v>0</v>
      </c>
      <c r="H286" s="41">
        <f t="shared" si="15"/>
        <v>0</v>
      </c>
      <c r="I286" s="3"/>
    </row>
    <row r="287" spans="1:10" ht="12.75">
      <c r="A287" s="49"/>
      <c r="B287" s="3" t="s">
        <v>299</v>
      </c>
      <c r="C287" s="37"/>
      <c r="D287" s="37"/>
      <c r="E287" s="37"/>
      <c r="F287" s="37"/>
      <c r="G287" s="77">
        <f t="shared" si="14"/>
        <v>0</v>
      </c>
      <c r="H287" s="41">
        <f t="shared" si="15"/>
        <v>0</v>
      </c>
      <c r="I287" s="3"/>
      <c r="J287" s="13"/>
    </row>
    <row r="288" spans="1:10" ht="12.75">
      <c r="A288" s="49"/>
      <c r="B288" s="2" t="s">
        <v>215</v>
      </c>
      <c r="C288" s="37" t="s">
        <v>220</v>
      </c>
      <c r="D288" s="37">
        <v>31</v>
      </c>
      <c r="E288" s="37">
        <v>12</v>
      </c>
      <c r="F288" s="37">
        <v>0.42</v>
      </c>
      <c r="G288" s="77">
        <f t="shared" si="14"/>
        <v>156.23999999999998</v>
      </c>
      <c r="H288" s="41">
        <f t="shared" si="15"/>
        <v>2304.827870833668</v>
      </c>
      <c r="I288" s="3"/>
      <c r="J288" s="13"/>
    </row>
    <row r="289" spans="1:10" ht="12.75">
      <c r="A289" s="49"/>
      <c r="B289" s="3" t="s">
        <v>300</v>
      </c>
      <c r="C289" s="37"/>
      <c r="D289" s="37"/>
      <c r="E289" s="37"/>
      <c r="F289" s="37"/>
      <c r="G289" s="77">
        <f t="shared" si="14"/>
        <v>0</v>
      </c>
      <c r="H289" s="41">
        <f t="shared" si="15"/>
        <v>0</v>
      </c>
      <c r="I289" s="3"/>
      <c r="J289" s="13"/>
    </row>
    <row r="290" spans="1:10" ht="12.75">
      <c r="A290" s="49"/>
      <c r="B290" s="3" t="s">
        <v>342</v>
      </c>
      <c r="C290" s="37" t="s">
        <v>221</v>
      </c>
      <c r="D290" s="37">
        <v>35.4</v>
      </c>
      <c r="E290" s="37">
        <v>96</v>
      </c>
      <c r="F290" s="37">
        <v>0.27</v>
      </c>
      <c r="G290" s="77">
        <f t="shared" si="14"/>
        <v>917.568</v>
      </c>
      <c r="H290" s="41">
        <f t="shared" si="15"/>
        <v>13535.81861101579</v>
      </c>
      <c r="I290" s="3"/>
      <c r="J290" s="13"/>
    </row>
    <row r="291" spans="1:10" ht="13.5" customHeight="1">
      <c r="A291" s="49"/>
      <c r="B291" s="3" t="s">
        <v>123</v>
      </c>
      <c r="C291" s="37" t="s">
        <v>48</v>
      </c>
      <c r="D291" s="37">
        <v>64</v>
      </c>
      <c r="E291" s="37">
        <v>1</v>
      </c>
      <c r="F291" s="37">
        <v>1</v>
      </c>
      <c r="G291" s="77">
        <f>D291*E291</f>
        <v>64</v>
      </c>
      <c r="H291" s="41">
        <f t="shared" si="15"/>
        <v>944.1179194403146</v>
      </c>
      <c r="I291" s="3"/>
      <c r="J291" s="15"/>
    </row>
    <row r="292" spans="1:10" ht="15">
      <c r="A292" s="49"/>
      <c r="B292" s="2" t="s">
        <v>341</v>
      </c>
      <c r="C292" s="37"/>
      <c r="D292" s="37"/>
      <c r="E292" s="37"/>
      <c r="F292" s="37"/>
      <c r="G292" s="135">
        <f>SUM(G269:G291)</f>
        <v>3595.638</v>
      </c>
      <c r="H292" s="30">
        <f>SUM(H269:H291)</f>
        <v>53042.28543157085</v>
      </c>
      <c r="I292" s="3"/>
      <c r="J292" s="15"/>
    </row>
    <row r="293" spans="1:10" ht="12.75">
      <c r="A293" s="49">
        <v>3</v>
      </c>
      <c r="B293" s="5" t="s">
        <v>387</v>
      </c>
      <c r="C293" s="37"/>
      <c r="D293" s="37"/>
      <c r="E293" s="37"/>
      <c r="F293" s="37"/>
      <c r="G293" s="77"/>
      <c r="H293" s="40"/>
      <c r="I293" s="3"/>
      <c r="J293" s="13"/>
    </row>
    <row r="294" spans="1:10" ht="12.75">
      <c r="A294" s="49"/>
      <c r="B294" s="73" t="s">
        <v>256</v>
      </c>
      <c r="C294" s="37" t="s">
        <v>264</v>
      </c>
      <c r="D294" s="37">
        <f>2001-212-180-48</f>
        <v>1561</v>
      </c>
      <c r="E294" s="37">
        <v>1</v>
      </c>
      <c r="F294" s="37">
        <v>1</v>
      </c>
      <c r="G294" s="37">
        <f>2001-212-180-48</f>
        <v>1561</v>
      </c>
      <c r="H294" s="41">
        <f>76778/5204.638*G294</f>
        <v>23027.626128848922</v>
      </c>
      <c r="I294" s="3"/>
      <c r="J294" s="12"/>
    </row>
    <row r="295" spans="1:10" ht="12.75">
      <c r="A295" s="49"/>
      <c r="B295" s="3" t="s">
        <v>260</v>
      </c>
      <c r="C295" s="37" t="s">
        <v>264</v>
      </c>
      <c r="D295" s="77">
        <f>2*8*3</f>
        <v>48</v>
      </c>
      <c r="E295" s="37">
        <v>1</v>
      </c>
      <c r="F295" s="37">
        <v>1</v>
      </c>
      <c r="G295" s="77">
        <f>2*8*3</f>
        <v>48</v>
      </c>
      <c r="H295" s="41">
        <f>76778/5204.638*G295</f>
        <v>708.0884395802359</v>
      </c>
      <c r="I295" s="3"/>
      <c r="J295" s="23"/>
    </row>
    <row r="296" spans="1:10" ht="12.75">
      <c r="A296" s="49"/>
      <c r="B296" s="2" t="s">
        <v>243</v>
      </c>
      <c r="C296" s="37"/>
      <c r="D296" s="77"/>
      <c r="E296" s="37"/>
      <c r="F296" s="37"/>
      <c r="G296" s="31">
        <f>SUM(G294:G295)</f>
        <v>1609</v>
      </c>
      <c r="H296" s="40">
        <f>SUM(H294:H295)</f>
        <v>23735.714568429157</v>
      </c>
      <c r="I296" s="3"/>
      <c r="J296" s="12"/>
    </row>
    <row r="297" spans="1:10" ht="14.25" customHeight="1">
      <c r="A297" s="144"/>
      <c r="B297" s="1" t="s">
        <v>382</v>
      </c>
      <c r="C297" s="75"/>
      <c r="D297" s="74"/>
      <c r="E297" s="75"/>
      <c r="F297" s="75"/>
      <c r="G297" s="135">
        <f>G292+G296</f>
        <v>5204.638</v>
      </c>
      <c r="H297" s="36">
        <f>H267+H292+H296</f>
        <v>400127</v>
      </c>
      <c r="I297" s="3"/>
      <c r="J297" s="12"/>
    </row>
    <row r="298" spans="1:10" ht="30" customHeight="1">
      <c r="A298" s="152">
        <v>1</v>
      </c>
      <c r="B298" s="66" t="s">
        <v>396</v>
      </c>
      <c r="C298" s="152"/>
      <c r="D298" s="158"/>
      <c r="E298" s="152"/>
      <c r="F298" s="152"/>
      <c r="G298" s="153"/>
      <c r="H298" s="160">
        <v>3277</v>
      </c>
      <c r="I298" s="168" t="s">
        <v>393</v>
      </c>
      <c r="J298" s="13"/>
    </row>
    <row r="299" spans="1:10" ht="40.5" customHeight="1">
      <c r="A299" s="144">
        <v>2</v>
      </c>
      <c r="B299" s="84" t="s">
        <v>397</v>
      </c>
      <c r="C299" s="75"/>
      <c r="D299" s="74"/>
      <c r="E299" s="75"/>
      <c r="F299" s="75"/>
      <c r="G299" s="135"/>
      <c r="H299" s="160">
        <f>1650+1750</f>
        <v>3400</v>
      </c>
      <c r="I299" s="168" t="s">
        <v>393</v>
      </c>
      <c r="J299" s="13"/>
    </row>
    <row r="300" spans="1:10" ht="21.75" customHeight="1">
      <c r="A300" s="49">
        <v>3</v>
      </c>
      <c r="B300" s="83" t="s">
        <v>343</v>
      </c>
      <c r="C300" s="37" t="s">
        <v>48</v>
      </c>
      <c r="D300" s="37">
        <v>4725</v>
      </c>
      <c r="E300" s="37">
        <v>1</v>
      </c>
      <c r="F300" s="37">
        <v>1</v>
      </c>
      <c r="G300" s="77">
        <f>D300*E300</f>
        <v>4725</v>
      </c>
      <c r="H300" s="41">
        <f>126609+34137+12552+22000-3277-1650-1750-2726-18051</f>
        <v>167844</v>
      </c>
      <c r="I300" s="53" t="s">
        <v>359</v>
      </c>
      <c r="J300" s="15"/>
    </row>
    <row r="301" spans="1:10" ht="15.75" customHeight="1">
      <c r="A301" s="49" t="s">
        <v>403</v>
      </c>
      <c r="B301" s="83" t="s">
        <v>422</v>
      </c>
      <c r="C301" s="37"/>
      <c r="D301" s="37"/>
      <c r="E301" s="37"/>
      <c r="F301" s="37"/>
      <c r="G301" s="77"/>
      <c r="H301" s="41">
        <v>2726</v>
      </c>
      <c r="I301" s="53"/>
      <c r="J301" s="15"/>
    </row>
    <row r="302" spans="1:10" ht="15">
      <c r="A302" s="49"/>
      <c r="B302" s="5" t="s">
        <v>293</v>
      </c>
      <c r="C302" s="37"/>
      <c r="D302" s="77"/>
      <c r="E302" s="37"/>
      <c r="F302" s="37"/>
      <c r="G302" s="135">
        <f>G292+G296</f>
        <v>5204.638</v>
      </c>
      <c r="H302" s="30">
        <f>H297+H298+H299+H300+H301</f>
        <v>577374</v>
      </c>
      <c r="I302" s="3"/>
      <c r="J302" s="23"/>
    </row>
    <row r="303" spans="1:11" ht="15.75" customHeight="1">
      <c r="A303" s="49">
        <v>4</v>
      </c>
      <c r="B303" s="73" t="s">
        <v>402</v>
      </c>
      <c r="C303" s="37"/>
      <c r="D303" s="29"/>
      <c r="E303" s="37"/>
      <c r="F303" s="37"/>
      <c r="G303" s="3"/>
      <c r="H303" s="161">
        <f>5000+1500+15784</f>
        <v>22284</v>
      </c>
      <c r="I303" s="3"/>
      <c r="J303" s="11"/>
      <c r="K303" s="11"/>
    </row>
    <row r="304" spans="1:10" ht="15">
      <c r="A304" s="49">
        <v>5</v>
      </c>
      <c r="B304" s="1" t="s">
        <v>278</v>
      </c>
      <c r="C304" s="75"/>
      <c r="D304" s="74"/>
      <c r="E304" s="75"/>
      <c r="F304" s="75"/>
      <c r="G304" s="74"/>
      <c r="H304" s="36">
        <f>96000-36151</f>
        <v>59849</v>
      </c>
      <c r="I304" s="157" t="s">
        <v>49</v>
      </c>
      <c r="J304" s="11"/>
    </row>
    <row r="305" spans="1:10" ht="17.25" customHeight="1">
      <c r="A305" s="49"/>
      <c r="B305" s="4" t="s">
        <v>173</v>
      </c>
      <c r="C305" s="64"/>
      <c r="D305" s="64"/>
      <c r="E305" s="53"/>
      <c r="F305" s="53"/>
      <c r="G305" s="62"/>
      <c r="H305" s="71">
        <f>H302+H303+H304</f>
        <v>659507</v>
      </c>
      <c r="I305" s="3"/>
      <c r="J305" s="47"/>
    </row>
    <row r="306" spans="1:9" ht="12.75">
      <c r="A306" s="185" t="s">
        <v>95</v>
      </c>
      <c r="B306" s="178"/>
      <c r="C306" s="178"/>
      <c r="D306" s="178"/>
      <c r="E306" s="178"/>
      <c r="F306" s="178"/>
      <c r="G306" s="178"/>
      <c r="H306" s="178"/>
      <c r="I306" s="3"/>
    </row>
    <row r="307" spans="1:10" ht="12.75">
      <c r="A307" s="188" t="s">
        <v>15</v>
      </c>
      <c r="B307" s="180"/>
      <c r="C307" s="180"/>
      <c r="D307" s="180"/>
      <c r="E307" s="180"/>
      <c r="F307" s="180"/>
      <c r="G307" s="180"/>
      <c r="H307" s="180"/>
      <c r="I307" s="3"/>
      <c r="J307" s="11"/>
    </row>
    <row r="308" spans="1:9" ht="12.75">
      <c r="A308" s="70">
        <v>1</v>
      </c>
      <c r="B308" s="70" t="s">
        <v>313</v>
      </c>
      <c r="C308" s="29"/>
      <c r="D308" s="29"/>
      <c r="E308" s="29"/>
      <c r="F308" s="29"/>
      <c r="G308" s="29"/>
      <c r="H308" s="29"/>
      <c r="I308" s="3"/>
    </row>
    <row r="309" spans="1:9" ht="12.75">
      <c r="A309" s="37">
        <v>1</v>
      </c>
      <c r="B309" s="68" t="s">
        <v>125</v>
      </c>
      <c r="C309" s="37" t="s">
        <v>56</v>
      </c>
      <c r="D309" s="37">
        <v>29</v>
      </c>
      <c r="E309" s="37"/>
      <c r="F309" s="37"/>
      <c r="G309" s="37"/>
      <c r="H309" s="45"/>
      <c r="I309" s="3"/>
    </row>
    <row r="310" spans="1:10" ht="12.75">
      <c r="A310" s="37">
        <v>2</v>
      </c>
      <c r="B310" s="68" t="s">
        <v>126</v>
      </c>
      <c r="C310" s="37" t="s">
        <v>56</v>
      </c>
      <c r="D310" s="45">
        <v>29</v>
      </c>
      <c r="E310" s="37"/>
      <c r="F310" s="37"/>
      <c r="G310" s="37"/>
      <c r="H310" s="45"/>
      <c r="I310" s="3"/>
      <c r="J310" s="47"/>
    </row>
    <row r="311" spans="1:9" ht="12.75">
      <c r="A311" s="37">
        <v>3</v>
      </c>
      <c r="B311" s="68" t="s">
        <v>127</v>
      </c>
      <c r="C311" s="37" t="s">
        <v>63</v>
      </c>
      <c r="D311" s="45">
        <v>6</v>
      </c>
      <c r="E311" s="37"/>
      <c r="F311" s="37"/>
      <c r="G311" s="37"/>
      <c r="H311" s="45"/>
      <c r="I311" s="3"/>
    </row>
    <row r="312" spans="1:9" ht="12.75">
      <c r="A312" s="37">
        <v>4</v>
      </c>
      <c r="B312" s="68" t="s">
        <v>128</v>
      </c>
      <c r="C312" s="37" t="s">
        <v>56</v>
      </c>
      <c r="D312" s="45">
        <v>313.68</v>
      </c>
      <c r="E312" s="37"/>
      <c r="F312" s="37"/>
      <c r="G312" s="37"/>
      <c r="H312" s="45"/>
      <c r="I312" s="3"/>
    </row>
    <row r="313" spans="1:9" ht="12.75">
      <c r="A313" s="37">
        <v>5</v>
      </c>
      <c r="B313" s="68" t="s">
        <v>129</v>
      </c>
      <c r="C313" s="37" t="s">
        <v>56</v>
      </c>
      <c r="D313" s="45">
        <v>279.56</v>
      </c>
      <c r="E313" s="37"/>
      <c r="F313" s="37"/>
      <c r="G313" s="37"/>
      <c r="H313" s="45"/>
      <c r="I313" s="3"/>
    </row>
    <row r="314" spans="1:9" ht="12.75">
      <c r="A314" s="37">
        <v>6</v>
      </c>
      <c r="B314" s="68" t="s">
        <v>130</v>
      </c>
      <c r="C314" s="37" t="s">
        <v>56</v>
      </c>
      <c r="D314" s="45">
        <v>79</v>
      </c>
      <c r="E314" s="37"/>
      <c r="F314" s="37"/>
      <c r="G314" s="37"/>
      <c r="H314" s="45"/>
      <c r="I314" s="3"/>
    </row>
    <row r="315" spans="1:9" ht="12.75">
      <c r="A315" s="37">
        <v>7</v>
      </c>
      <c r="B315" s="68" t="s">
        <v>131</v>
      </c>
      <c r="C315" s="37" t="s">
        <v>132</v>
      </c>
      <c r="D315" s="45">
        <v>200</v>
      </c>
      <c r="E315" s="37"/>
      <c r="F315" s="37"/>
      <c r="G315" s="37"/>
      <c r="H315" s="45"/>
      <c r="I315" s="3"/>
    </row>
    <row r="316" spans="1:9" ht="12.75">
      <c r="A316" s="37">
        <v>8</v>
      </c>
      <c r="B316" s="68" t="s">
        <v>133</v>
      </c>
      <c r="C316" s="37" t="s">
        <v>56</v>
      </c>
      <c r="D316" s="45">
        <v>21.36</v>
      </c>
      <c r="E316" s="37"/>
      <c r="F316" s="37"/>
      <c r="G316" s="37"/>
      <c r="H316" s="45"/>
      <c r="I316" s="3"/>
    </row>
    <row r="317" spans="1:9" ht="12.75">
      <c r="A317" s="37">
        <v>9</v>
      </c>
      <c r="B317" s="68" t="s">
        <v>134</v>
      </c>
      <c r="C317" s="37"/>
      <c r="D317" s="45"/>
      <c r="E317" s="37"/>
      <c r="F317" s="37"/>
      <c r="G317" s="37"/>
      <c r="H317" s="45"/>
      <c r="I317" s="3"/>
    </row>
    <row r="318" spans="1:9" ht="12.75">
      <c r="A318" s="37">
        <v>10</v>
      </c>
      <c r="B318" s="68" t="s">
        <v>332</v>
      </c>
      <c r="C318" s="37"/>
      <c r="D318" s="45"/>
      <c r="E318" s="37"/>
      <c r="F318" s="37"/>
      <c r="G318" s="37"/>
      <c r="H318" s="45"/>
      <c r="I318" s="3"/>
    </row>
    <row r="319" spans="1:9" ht="12.75">
      <c r="A319" s="37">
        <v>11</v>
      </c>
      <c r="B319" s="68" t="s">
        <v>135</v>
      </c>
      <c r="C319" s="37"/>
      <c r="D319" s="45"/>
      <c r="E319" s="37"/>
      <c r="F319" s="37"/>
      <c r="G319" s="37"/>
      <c r="H319" s="45"/>
      <c r="I319" s="3"/>
    </row>
    <row r="320" spans="1:10" ht="27" customHeight="1">
      <c r="A320" s="37" t="s">
        <v>391</v>
      </c>
      <c r="B320" s="68" t="s">
        <v>392</v>
      </c>
      <c r="C320" s="37"/>
      <c r="D320" s="45"/>
      <c r="E320" s="37"/>
      <c r="F320" s="37"/>
      <c r="G320" s="37"/>
      <c r="H320" s="41">
        <v>2858.4</v>
      </c>
      <c r="I320" s="3"/>
      <c r="J320" s="11"/>
    </row>
    <row r="321" spans="1:9" ht="14.25" customHeight="1">
      <c r="A321" s="37"/>
      <c r="B321" s="58" t="s">
        <v>243</v>
      </c>
      <c r="C321" s="37"/>
      <c r="D321" s="45"/>
      <c r="E321" s="37"/>
      <c r="F321" s="37"/>
      <c r="G321" s="37"/>
      <c r="H321" s="40">
        <f>97194-H323</f>
        <v>59265</v>
      </c>
      <c r="I321" s="3"/>
    </row>
    <row r="322" spans="1:9" ht="12.75">
      <c r="A322" s="64">
        <v>2</v>
      </c>
      <c r="B322" s="5" t="s">
        <v>387</v>
      </c>
      <c r="C322" s="37"/>
      <c r="D322" s="45"/>
      <c r="E322" s="37"/>
      <c r="F322" s="37"/>
      <c r="G322" s="37"/>
      <c r="H322" s="62"/>
      <c r="I322" s="67"/>
    </row>
    <row r="323" spans="1:9" ht="17.25" customHeight="1">
      <c r="A323" s="64"/>
      <c r="B323" s="68" t="s">
        <v>348</v>
      </c>
      <c r="C323" s="37" t="s">
        <v>264</v>
      </c>
      <c r="D323" s="45">
        <v>912</v>
      </c>
      <c r="E323" s="37">
        <v>1</v>
      </c>
      <c r="F323" s="37">
        <v>1</v>
      </c>
      <c r="G323" s="37">
        <v>912</v>
      </c>
      <c r="H323" s="62">
        <f>11429+4202+15895+6403</f>
        <v>37929</v>
      </c>
      <c r="I323" s="67"/>
    </row>
    <row r="324" spans="1:10" ht="25.5">
      <c r="A324" s="64">
        <v>3</v>
      </c>
      <c r="B324" s="65" t="s">
        <v>378</v>
      </c>
      <c r="C324" s="64"/>
      <c r="D324" s="63"/>
      <c r="E324" s="33"/>
      <c r="F324" s="53"/>
      <c r="G324" s="69"/>
      <c r="H324" s="62">
        <v>58645</v>
      </c>
      <c r="I324" s="65" t="s">
        <v>377</v>
      </c>
      <c r="J324" s="11"/>
    </row>
    <row r="325" spans="1:10" ht="31.5" customHeight="1">
      <c r="A325" s="64"/>
      <c r="B325" s="147" t="s">
        <v>294</v>
      </c>
      <c r="C325" s="75"/>
      <c r="D325" s="148"/>
      <c r="E325" s="75"/>
      <c r="F325" s="75"/>
      <c r="G325" s="76"/>
      <c r="H325" s="149">
        <f>H320+H321+H323+H324</f>
        <v>158697.4</v>
      </c>
      <c r="I325" s="67"/>
      <c r="J325" s="11"/>
    </row>
    <row r="326" spans="1:10" ht="12.75">
      <c r="A326" s="185" t="s">
        <v>96</v>
      </c>
      <c r="B326" s="178"/>
      <c r="C326" s="178"/>
      <c r="D326" s="178"/>
      <c r="E326" s="178"/>
      <c r="F326" s="178"/>
      <c r="G326" s="178"/>
      <c r="H326" s="178"/>
      <c r="I326" s="3"/>
      <c r="J326" s="11"/>
    </row>
    <row r="327" spans="1:10" ht="12.75">
      <c r="A327" s="185" t="s">
        <v>14</v>
      </c>
      <c r="B327" s="178"/>
      <c r="C327" s="178"/>
      <c r="D327" s="178"/>
      <c r="E327" s="178"/>
      <c r="F327" s="178"/>
      <c r="G327" s="178"/>
      <c r="H327" s="178"/>
      <c r="I327" s="3"/>
      <c r="J327" s="11"/>
    </row>
    <row r="328" spans="1:9" ht="12.75">
      <c r="A328" s="35">
        <v>1</v>
      </c>
      <c r="B328" s="2" t="s">
        <v>136</v>
      </c>
      <c r="C328" s="35"/>
      <c r="D328" s="35"/>
      <c r="E328" s="46"/>
      <c r="F328" s="37"/>
      <c r="G328" s="37"/>
      <c r="H328" s="45"/>
      <c r="I328" s="37"/>
    </row>
    <row r="329" spans="1:9" ht="12.75">
      <c r="A329" s="35"/>
      <c r="B329" s="3" t="s">
        <v>327</v>
      </c>
      <c r="C329" s="35" t="s">
        <v>43</v>
      </c>
      <c r="D329" s="35">
        <v>36</v>
      </c>
      <c r="E329" s="46">
        <v>32</v>
      </c>
      <c r="F329" s="37">
        <v>0.162</v>
      </c>
      <c r="G329" s="77">
        <f aca="true" t="shared" si="16" ref="G329:G334">D329*E329*F329</f>
        <v>186.624</v>
      </c>
      <c r="H329" s="41">
        <f aca="true" t="shared" si="17" ref="H329:H334">159496/10957.043*G329</f>
        <v>2716.5889103474356</v>
      </c>
      <c r="I329" s="37"/>
    </row>
    <row r="330" spans="1:9" ht="12.75">
      <c r="A330" s="35"/>
      <c r="B330" s="3" t="s">
        <v>159</v>
      </c>
      <c r="C330" s="35" t="s">
        <v>160</v>
      </c>
      <c r="D330" s="35">
        <v>50</v>
      </c>
      <c r="E330" s="46">
        <v>4</v>
      </c>
      <c r="F330" s="37">
        <v>0.35</v>
      </c>
      <c r="G330" s="77">
        <f t="shared" si="16"/>
        <v>70</v>
      </c>
      <c r="H330" s="41">
        <f t="shared" si="17"/>
        <v>1018.9537450934527</v>
      </c>
      <c r="I330" s="37"/>
    </row>
    <row r="331" spans="1:9" ht="12.75">
      <c r="A331" s="35"/>
      <c r="B331" s="3" t="s">
        <v>328</v>
      </c>
      <c r="C331" s="35" t="s">
        <v>43</v>
      </c>
      <c r="D331" s="35">
        <v>20</v>
      </c>
      <c r="E331" s="46">
        <v>8</v>
      </c>
      <c r="F331" s="37">
        <v>6.25</v>
      </c>
      <c r="G331" s="77">
        <f t="shared" si="16"/>
        <v>1000</v>
      </c>
      <c r="H331" s="41">
        <f t="shared" si="17"/>
        <v>14556.482072763609</v>
      </c>
      <c r="I331" s="37"/>
    </row>
    <row r="332" spans="1:9" ht="12.75">
      <c r="A332" s="35"/>
      <c r="B332" s="3" t="s">
        <v>329</v>
      </c>
      <c r="C332" s="35" t="s">
        <v>43</v>
      </c>
      <c r="D332" s="35">
        <v>677.28</v>
      </c>
      <c r="E332" s="46">
        <v>32</v>
      </c>
      <c r="F332" s="37">
        <v>0.03</v>
      </c>
      <c r="G332" s="77">
        <f t="shared" si="16"/>
        <v>650.1887999999999</v>
      </c>
      <c r="H332" s="41">
        <f t="shared" si="17"/>
        <v>9464.461611111683</v>
      </c>
      <c r="I332" s="37"/>
    </row>
    <row r="333" spans="1:9" ht="12.75">
      <c r="A333" s="35"/>
      <c r="B333" s="3" t="s">
        <v>138</v>
      </c>
      <c r="C333" s="35" t="s">
        <v>56</v>
      </c>
      <c r="D333" s="35">
        <v>31950</v>
      </c>
      <c r="E333" s="35">
        <v>2</v>
      </c>
      <c r="F333" s="35">
        <v>0.043</v>
      </c>
      <c r="G333" s="43">
        <f t="shared" si="16"/>
        <v>2747.7</v>
      </c>
      <c r="H333" s="41">
        <f t="shared" si="17"/>
        <v>39996.84579133257</v>
      </c>
      <c r="I333" s="37"/>
    </row>
    <row r="334" spans="1:9" ht="12.75">
      <c r="A334" s="35"/>
      <c r="B334" s="3" t="s">
        <v>137</v>
      </c>
      <c r="C334" s="35" t="s">
        <v>107</v>
      </c>
      <c r="D334" s="35">
        <v>2</v>
      </c>
      <c r="E334" s="35">
        <v>8</v>
      </c>
      <c r="F334" s="35">
        <v>1.63</v>
      </c>
      <c r="G334" s="43">
        <f t="shared" si="16"/>
        <v>26.08</v>
      </c>
      <c r="H334" s="41">
        <f t="shared" si="17"/>
        <v>379.6330524576749</v>
      </c>
      <c r="I334" s="37"/>
    </row>
    <row r="335" spans="1:9" ht="12.75">
      <c r="A335" s="35"/>
      <c r="B335" s="2" t="s">
        <v>295</v>
      </c>
      <c r="C335" s="35"/>
      <c r="D335" s="35"/>
      <c r="E335" s="35"/>
      <c r="F335" s="35"/>
      <c r="G335" s="56">
        <f>SUM(G329:G334)</f>
        <v>4680.592799999999</v>
      </c>
      <c r="H335" s="40">
        <f>SUM(H329:H334)</f>
        <v>68132.96518310643</v>
      </c>
      <c r="I335" s="37"/>
    </row>
    <row r="336" spans="1:9" ht="12.75">
      <c r="A336" s="185" t="s">
        <v>97</v>
      </c>
      <c r="B336" s="178"/>
      <c r="C336" s="178"/>
      <c r="D336" s="178"/>
      <c r="E336" s="178"/>
      <c r="F336" s="178"/>
      <c r="G336" s="178"/>
      <c r="H336" s="178"/>
      <c r="I336" s="3"/>
    </row>
    <row r="337" spans="1:9" ht="12.75">
      <c r="A337" s="185" t="s">
        <v>16</v>
      </c>
      <c r="B337" s="178"/>
      <c r="C337" s="178"/>
      <c r="D337" s="178"/>
      <c r="E337" s="178"/>
      <c r="F337" s="178"/>
      <c r="G337" s="178"/>
      <c r="H337" s="178"/>
      <c r="I337" s="3"/>
    </row>
    <row r="338" spans="1:9" ht="12.75">
      <c r="A338" s="35">
        <v>1</v>
      </c>
      <c r="B338" s="2" t="s">
        <v>139</v>
      </c>
      <c r="C338" s="3"/>
      <c r="D338" s="35"/>
      <c r="E338" s="46"/>
      <c r="F338" s="37"/>
      <c r="G338" s="37"/>
      <c r="H338" s="41"/>
      <c r="I338" s="3"/>
    </row>
    <row r="339" spans="1:9" ht="12.75">
      <c r="A339" s="35"/>
      <c r="B339" s="3" t="s">
        <v>140</v>
      </c>
      <c r="C339" s="35" t="s">
        <v>43</v>
      </c>
      <c r="D339" s="35">
        <v>28.73</v>
      </c>
      <c r="E339" s="60">
        <v>64</v>
      </c>
      <c r="F339" s="60">
        <v>0.162</v>
      </c>
      <c r="G339" s="43">
        <f aca="true" t="shared" si="18" ref="G339:G346">D339*E339*F339</f>
        <v>297.87264</v>
      </c>
      <c r="H339" s="41">
        <f aca="true" t="shared" si="19" ref="H339:H346">159496/10957.043*G339</f>
        <v>4335.977744126768</v>
      </c>
      <c r="I339" s="3"/>
    </row>
    <row r="340" spans="1:9" ht="12.75">
      <c r="A340" s="35"/>
      <c r="B340" s="3" t="s">
        <v>141</v>
      </c>
      <c r="C340" s="35" t="s">
        <v>43</v>
      </c>
      <c r="D340" s="35">
        <v>2.5</v>
      </c>
      <c r="E340" s="60">
        <v>3</v>
      </c>
      <c r="F340" s="60">
        <v>6.25</v>
      </c>
      <c r="G340" s="43">
        <f t="shared" si="18"/>
        <v>46.875</v>
      </c>
      <c r="H340" s="41">
        <f t="shared" si="19"/>
        <v>682.3350971607941</v>
      </c>
      <c r="I340" s="3"/>
    </row>
    <row r="341" spans="1:9" ht="12.75">
      <c r="A341" s="35"/>
      <c r="B341" s="3" t="s">
        <v>142</v>
      </c>
      <c r="C341" s="35" t="s">
        <v>43</v>
      </c>
      <c r="D341" s="35">
        <v>28.73</v>
      </c>
      <c r="E341" s="60">
        <v>36</v>
      </c>
      <c r="F341" s="60">
        <v>0.214</v>
      </c>
      <c r="G341" s="43">
        <f t="shared" si="18"/>
        <v>221.33592</v>
      </c>
      <c r="H341" s="41">
        <f t="shared" si="19"/>
        <v>3221.87235153864</v>
      </c>
      <c r="I341" s="3"/>
    </row>
    <row r="342" spans="1:9" ht="12.75">
      <c r="A342" s="35"/>
      <c r="B342" s="3" t="s">
        <v>143</v>
      </c>
      <c r="C342" s="35" t="s">
        <v>43</v>
      </c>
      <c r="D342" s="35">
        <v>28.73</v>
      </c>
      <c r="E342" s="60">
        <v>24</v>
      </c>
      <c r="F342" s="60">
        <v>1.43</v>
      </c>
      <c r="G342" s="43">
        <f t="shared" si="18"/>
        <v>986.0135999999999</v>
      </c>
      <c r="H342" s="41">
        <f t="shared" si="19"/>
        <v>14352.889291901107</v>
      </c>
      <c r="I342" s="3"/>
    </row>
    <row r="343" spans="1:9" ht="12.75">
      <c r="A343" s="35"/>
      <c r="B343" s="3" t="s">
        <v>144</v>
      </c>
      <c r="C343" s="35" t="s">
        <v>56</v>
      </c>
      <c r="D343" s="35">
        <v>1900</v>
      </c>
      <c r="E343" s="60">
        <v>6</v>
      </c>
      <c r="F343" s="60">
        <v>0.05</v>
      </c>
      <c r="G343" s="43">
        <f t="shared" si="18"/>
        <v>570</v>
      </c>
      <c r="H343" s="41">
        <f t="shared" si="19"/>
        <v>8297.194781475257</v>
      </c>
      <c r="I343" s="3"/>
    </row>
    <row r="344" spans="1:9" ht="12.75">
      <c r="A344" s="35"/>
      <c r="B344" s="3" t="s">
        <v>137</v>
      </c>
      <c r="C344" s="35" t="s">
        <v>145</v>
      </c>
      <c r="D344" s="35">
        <v>3</v>
      </c>
      <c r="E344" s="60">
        <v>6</v>
      </c>
      <c r="F344" s="60">
        <v>1.63</v>
      </c>
      <c r="G344" s="43">
        <f t="shared" si="18"/>
        <v>29.339999999999996</v>
      </c>
      <c r="H344" s="41">
        <f t="shared" si="19"/>
        <v>427.08718401488426</v>
      </c>
      <c r="I344" s="3"/>
    </row>
    <row r="345" spans="1:9" ht="12.75">
      <c r="A345" s="35"/>
      <c r="B345" s="3" t="s">
        <v>146</v>
      </c>
      <c r="C345" s="35" t="s">
        <v>43</v>
      </c>
      <c r="D345" s="35">
        <v>28.73</v>
      </c>
      <c r="E345" s="60">
        <v>24</v>
      </c>
      <c r="F345" s="60">
        <v>0.24</v>
      </c>
      <c r="G345" s="43">
        <f t="shared" si="18"/>
        <v>165.48479999999998</v>
      </c>
      <c r="H345" s="41">
        <f t="shared" si="19"/>
        <v>2408.876524514871</v>
      </c>
      <c r="I345" s="3"/>
    </row>
    <row r="346" spans="1:9" ht="12.75">
      <c r="A346" s="35"/>
      <c r="B346" s="3" t="s">
        <v>147</v>
      </c>
      <c r="C346" s="35" t="s">
        <v>54</v>
      </c>
      <c r="D346" s="35">
        <v>6</v>
      </c>
      <c r="E346" s="60">
        <v>96</v>
      </c>
      <c r="F346" s="60">
        <v>0.125</v>
      </c>
      <c r="G346" s="43">
        <f t="shared" si="18"/>
        <v>72</v>
      </c>
      <c r="H346" s="41">
        <f t="shared" si="19"/>
        <v>1048.06670923898</v>
      </c>
      <c r="I346" s="3"/>
    </row>
    <row r="347" spans="1:9" ht="12.75">
      <c r="A347" s="35"/>
      <c r="B347" s="2" t="s">
        <v>295</v>
      </c>
      <c r="C347" s="32"/>
      <c r="D347" s="32"/>
      <c r="E347" s="32"/>
      <c r="F347" s="32"/>
      <c r="G347" s="56">
        <f>SUM(G339:G346)</f>
        <v>2388.92196</v>
      </c>
      <c r="H347" s="40">
        <f>SUM(H339:H346)</f>
        <v>34774.299683971294</v>
      </c>
      <c r="I347" s="3"/>
    </row>
    <row r="348" spans="1:9" ht="25.5">
      <c r="A348" s="37">
        <v>2</v>
      </c>
      <c r="B348" s="4" t="s">
        <v>248</v>
      </c>
      <c r="C348" s="35"/>
      <c r="D348" s="35"/>
      <c r="E348" s="33"/>
      <c r="F348" s="29"/>
      <c r="G348" s="29"/>
      <c r="H348" s="55">
        <v>40430</v>
      </c>
      <c r="I348" s="29" t="s">
        <v>49</v>
      </c>
    </row>
    <row r="349" spans="1:9" ht="12.75">
      <c r="A349" s="185" t="s">
        <v>98</v>
      </c>
      <c r="B349" s="178"/>
      <c r="C349" s="178"/>
      <c r="D349" s="178"/>
      <c r="E349" s="178"/>
      <c r="F349" s="178"/>
      <c r="G349" s="178"/>
      <c r="H349" s="178"/>
      <c r="I349" s="61"/>
    </row>
    <row r="350" spans="1:9" ht="12.75">
      <c r="A350" s="29">
        <v>1</v>
      </c>
      <c r="B350" s="2" t="s">
        <v>148</v>
      </c>
      <c r="C350" s="35"/>
      <c r="D350" s="35"/>
      <c r="E350" s="29"/>
      <c r="F350" s="29"/>
      <c r="G350" s="29"/>
      <c r="H350" s="57"/>
      <c r="I350" s="3"/>
    </row>
    <row r="351" spans="1:9" ht="12.75">
      <c r="A351" s="37"/>
      <c r="B351" s="3" t="s">
        <v>149</v>
      </c>
      <c r="C351" s="35" t="s">
        <v>43</v>
      </c>
      <c r="D351" s="35">
        <v>8.74</v>
      </c>
      <c r="E351" s="60">
        <v>80</v>
      </c>
      <c r="F351" s="60">
        <v>0.162</v>
      </c>
      <c r="G351" s="43">
        <f>D351*E351*F351</f>
        <v>113.27040000000001</v>
      </c>
      <c r="H351" s="41">
        <f>159496/10957.043*G351</f>
        <v>1648.8185469747632</v>
      </c>
      <c r="I351" s="3"/>
    </row>
    <row r="352" spans="1:9" ht="12.75">
      <c r="A352" s="37"/>
      <c r="B352" s="3" t="s">
        <v>146</v>
      </c>
      <c r="C352" s="35" t="s">
        <v>43</v>
      </c>
      <c r="D352" s="35">
        <v>8.74</v>
      </c>
      <c r="E352" s="60">
        <v>24</v>
      </c>
      <c r="F352" s="60">
        <v>0.24</v>
      </c>
      <c r="G352" s="43">
        <f>D352*E352*F352</f>
        <v>50.3424</v>
      </c>
      <c r="H352" s="41">
        <f>159496/10957.043*G352</f>
        <v>732.8082430998946</v>
      </c>
      <c r="I352" s="3"/>
    </row>
    <row r="353" spans="1:9" ht="12.75">
      <c r="A353" s="37"/>
      <c r="B353" s="3" t="s">
        <v>150</v>
      </c>
      <c r="C353" s="35"/>
      <c r="D353" s="35"/>
      <c r="E353" s="60"/>
      <c r="F353" s="60"/>
      <c r="G353" s="43"/>
      <c r="H353" s="41">
        <f>159496/10957.043*G353</f>
        <v>0</v>
      </c>
      <c r="I353" s="3"/>
    </row>
    <row r="354" spans="1:9" ht="12.75">
      <c r="A354" s="37"/>
      <c r="B354" s="3" t="s">
        <v>151</v>
      </c>
      <c r="C354" s="35" t="s">
        <v>43</v>
      </c>
      <c r="D354" s="35">
        <v>8.74</v>
      </c>
      <c r="E354" s="60">
        <v>36</v>
      </c>
      <c r="F354" s="60">
        <v>0.214</v>
      </c>
      <c r="G354" s="43">
        <f>D354*E354*F354</f>
        <v>67.33296</v>
      </c>
      <c r="H354" s="41">
        <f>159496/10957.043*G354</f>
        <v>980.1310251461092</v>
      </c>
      <c r="I354" s="3"/>
    </row>
    <row r="355" spans="1:9" ht="12.75">
      <c r="A355" s="37"/>
      <c r="B355" s="3" t="s">
        <v>152</v>
      </c>
      <c r="C355" s="35" t="s">
        <v>43</v>
      </c>
      <c r="D355" s="35">
        <v>8.74</v>
      </c>
      <c r="E355" s="60">
        <v>12</v>
      </c>
      <c r="F355" s="60">
        <v>1.43</v>
      </c>
      <c r="G355" s="43">
        <f>D355*E355*F355</f>
        <v>149.9784</v>
      </c>
      <c r="H355" s="41">
        <f>159496/10957.043*G355</f>
        <v>2183.1578909017694</v>
      </c>
      <c r="I355" s="3"/>
    </row>
    <row r="356" spans="1:9" ht="12.75">
      <c r="A356" s="37"/>
      <c r="B356" s="2" t="s">
        <v>295</v>
      </c>
      <c r="C356" s="35"/>
      <c r="D356" s="35"/>
      <c r="E356" s="60"/>
      <c r="F356" s="60"/>
      <c r="G356" s="56">
        <f>SUM(G351:G355)</f>
        <v>380.92416000000003</v>
      </c>
      <c r="H356" s="40">
        <f>SUM(H351:H355)</f>
        <v>5544.915706122536</v>
      </c>
      <c r="I356" s="3"/>
    </row>
    <row r="357" spans="1:9" ht="12.75">
      <c r="A357" s="37">
        <v>2</v>
      </c>
      <c r="B357" s="2" t="s">
        <v>153</v>
      </c>
      <c r="C357" s="35"/>
      <c r="D357" s="35"/>
      <c r="E357" s="46"/>
      <c r="F357" s="37"/>
      <c r="G357" s="43"/>
      <c r="H357" s="41"/>
      <c r="I357" s="3"/>
    </row>
    <row r="358" spans="1:9" ht="12.75">
      <c r="A358" s="37"/>
      <c r="B358" s="3" t="s">
        <v>222</v>
      </c>
      <c r="C358" s="35" t="s">
        <v>43</v>
      </c>
      <c r="D358" s="35">
        <v>97.15</v>
      </c>
      <c r="E358" s="60">
        <v>64</v>
      </c>
      <c r="F358" s="60">
        <v>0.091</v>
      </c>
      <c r="G358" s="43">
        <f aca="true" t="shared" si="20" ref="G358:G368">D358*E358*F358</f>
        <v>565.8016</v>
      </c>
      <c r="H358" s="41">
        <f aca="true" t="shared" si="21" ref="H358:H368">159496/10957.043*G358</f>
        <v>8236.080847140967</v>
      </c>
      <c r="I358" s="3"/>
    </row>
    <row r="359" spans="1:9" ht="12.75">
      <c r="A359" s="37"/>
      <c r="B359" s="3" t="s">
        <v>223</v>
      </c>
      <c r="C359" s="35" t="s">
        <v>43</v>
      </c>
      <c r="D359" s="35">
        <v>24.74</v>
      </c>
      <c r="E359" s="60">
        <v>64</v>
      </c>
      <c r="F359" s="60">
        <v>0.091</v>
      </c>
      <c r="G359" s="43">
        <f t="shared" si="20"/>
        <v>144.08576</v>
      </c>
      <c r="H359" s="41">
        <f t="shared" si="21"/>
        <v>2097.38178238052</v>
      </c>
      <c r="I359" s="3"/>
    </row>
    <row r="360" spans="1:9" ht="12.75">
      <c r="A360" s="37"/>
      <c r="B360" s="3" t="s">
        <v>224</v>
      </c>
      <c r="C360" s="35" t="s">
        <v>43</v>
      </c>
      <c r="D360" s="35">
        <v>329.98</v>
      </c>
      <c r="E360" s="60">
        <v>36</v>
      </c>
      <c r="F360" s="60">
        <v>0.03</v>
      </c>
      <c r="G360" s="43">
        <f t="shared" si="20"/>
        <v>356.3784</v>
      </c>
      <c r="H360" s="41">
        <f t="shared" si="21"/>
        <v>5187.615790720179</v>
      </c>
      <c r="I360" s="3"/>
    </row>
    <row r="361" spans="1:9" ht="12.75">
      <c r="A361" s="37"/>
      <c r="B361" s="3" t="s">
        <v>154</v>
      </c>
      <c r="C361" s="35" t="s">
        <v>43</v>
      </c>
      <c r="D361" s="35">
        <v>117.32</v>
      </c>
      <c r="E361" s="60">
        <v>64</v>
      </c>
      <c r="F361" s="60">
        <v>0.129</v>
      </c>
      <c r="G361" s="43">
        <f t="shared" si="20"/>
        <v>968.59392</v>
      </c>
      <c r="H361" s="41">
        <f t="shared" si="21"/>
        <v>14099.32003226783</v>
      </c>
      <c r="I361" s="3"/>
    </row>
    <row r="362" spans="1:9" ht="12.75">
      <c r="A362" s="37"/>
      <c r="B362" s="3" t="s">
        <v>142</v>
      </c>
      <c r="C362" s="35" t="s">
        <v>43</v>
      </c>
      <c r="D362" s="35">
        <v>117.32</v>
      </c>
      <c r="E362" s="60">
        <f>4*4</f>
        <v>16</v>
      </c>
      <c r="F362" s="60">
        <v>0.214</v>
      </c>
      <c r="G362" s="43">
        <f t="shared" si="20"/>
        <v>401.70367999999996</v>
      </c>
      <c r="H362" s="41">
        <f t="shared" si="21"/>
        <v>5847.392416483169</v>
      </c>
      <c r="I362" s="3"/>
    </row>
    <row r="363" spans="1:9" ht="12.75">
      <c r="A363" s="37"/>
      <c r="B363" s="3" t="s">
        <v>115</v>
      </c>
      <c r="C363" s="35" t="s">
        <v>43</v>
      </c>
      <c r="D363" s="35">
        <v>329.98</v>
      </c>
      <c r="E363" s="60">
        <v>3</v>
      </c>
      <c r="F363" s="60">
        <v>0.427</v>
      </c>
      <c r="G363" s="43">
        <f t="shared" si="20"/>
        <v>422.70438</v>
      </c>
      <c r="H363" s="41">
        <f t="shared" si="21"/>
        <v>6153.088729548656</v>
      </c>
      <c r="I363" s="3"/>
    </row>
    <row r="364" spans="1:9" ht="12.75">
      <c r="A364" s="37"/>
      <c r="B364" s="3" t="s">
        <v>155</v>
      </c>
      <c r="C364" s="35" t="s">
        <v>160</v>
      </c>
      <c r="D364" s="35">
        <v>16.2</v>
      </c>
      <c r="E364" s="60">
        <v>1</v>
      </c>
      <c r="F364" s="60">
        <v>0.68</v>
      </c>
      <c r="G364" s="43">
        <f t="shared" si="20"/>
        <v>11.016</v>
      </c>
      <c r="H364" s="41">
        <f t="shared" si="21"/>
        <v>160.35420651356392</v>
      </c>
      <c r="I364" s="3"/>
    </row>
    <row r="365" spans="1:9" ht="12.75">
      <c r="A365" s="37"/>
      <c r="B365" s="3" t="s">
        <v>156</v>
      </c>
      <c r="C365" s="35" t="s">
        <v>63</v>
      </c>
      <c r="D365" s="35">
        <v>7</v>
      </c>
      <c r="E365" s="60">
        <v>64</v>
      </c>
      <c r="F365" s="60">
        <v>0.125</v>
      </c>
      <c r="G365" s="43">
        <f t="shared" si="20"/>
        <v>56</v>
      </c>
      <c r="H365" s="41">
        <f t="shared" si="21"/>
        <v>815.1629960747621</v>
      </c>
      <c r="I365" s="3"/>
    </row>
    <row r="366" spans="1:9" ht="12.75">
      <c r="A366" s="37"/>
      <c r="B366" s="3" t="s">
        <v>330</v>
      </c>
      <c r="C366" s="35" t="s">
        <v>43</v>
      </c>
      <c r="D366" s="35">
        <v>1.5</v>
      </c>
      <c r="E366" s="60">
        <v>4</v>
      </c>
      <c r="F366" s="60">
        <v>6.25</v>
      </c>
      <c r="G366" s="43">
        <f t="shared" si="20"/>
        <v>37.5</v>
      </c>
      <c r="H366" s="41">
        <f t="shared" si="21"/>
        <v>545.8680777286354</v>
      </c>
      <c r="I366" s="3"/>
    </row>
    <row r="367" spans="1:9" ht="12.75">
      <c r="A367" s="37"/>
      <c r="B367" s="3" t="s">
        <v>137</v>
      </c>
      <c r="C367" s="35" t="s">
        <v>107</v>
      </c>
      <c r="D367" s="35">
        <v>2</v>
      </c>
      <c r="E367" s="60">
        <v>7</v>
      </c>
      <c r="F367" s="60">
        <v>1.63</v>
      </c>
      <c r="G367" s="43">
        <f t="shared" si="20"/>
        <v>22.82</v>
      </c>
      <c r="H367" s="41">
        <f t="shared" si="21"/>
        <v>332.1789209004656</v>
      </c>
      <c r="I367" s="3"/>
    </row>
    <row r="368" spans="1:9" ht="12.75">
      <c r="A368" s="37"/>
      <c r="B368" s="3" t="s">
        <v>123</v>
      </c>
      <c r="C368" s="35" t="s">
        <v>48</v>
      </c>
      <c r="D368" s="35">
        <f>6*8</f>
        <v>48</v>
      </c>
      <c r="E368" s="60">
        <v>5</v>
      </c>
      <c r="F368" s="60">
        <v>1</v>
      </c>
      <c r="G368" s="43">
        <f t="shared" si="20"/>
        <v>240</v>
      </c>
      <c r="H368" s="41">
        <f t="shared" si="21"/>
        <v>3493.5556974632664</v>
      </c>
      <c r="I368" s="3"/>
    </row>
    <row r="369" spans="1:9" ht="16.5" customHeight="1">
      <c r="A369" s="37"/>
      <c r="B369" s="2" t="s">
        <v>295</v>
      </c>
      <c r="C369" s="35"/>
      <c r="D369" s="35"/>
      <c r="E369" s="60"/>
      <c r="F369" s="60"/>
      <c r="G369" s="56">
        <f>SUM(G358:G368)</f>
        <v>3226.6037400000005</v>
      </c>
      <c r="H369" s="40">
        <f>SUM(H358:H368)</f>
        <v>46967.999497222</v>
      </c>
      <c r="I369" s="3"/>
    </row>
    <row r="370" spans="1:10" ht="12.75">
      <c r="A370" s="37">
        <v>3</v>
      </c>
      <c r="B370" s="5" t="s">
        <v>387</v>
      </c>
      <c r="C370" s="37" t="s">
        <v>264</v>
      </c>
      <c r="D370" s="37"/>
      <c r="E370" s="33"/>
      <c r="F370" s="29"/>
      <c r="G370" s="31"/>
      <c r="H370" s="41"/>
      <c r="I370" s="29"/>
      <c r="J370" s="11"/>
    </row>
    <row r="371" spans="1:9" ht="12.75">
      <c r="A371" s="37"/>
      <c r="B371" s="3" t="s">
        <v>333</v>
      </c>
      <c r="C371" s="37" t="s">
        <v>264</v>
      </c>
      <c r="D371" s="37">
        <v>60</v>
      </c>
      <c r="E371" s="46">
        <v>1</v>
      </c>
      <c r="F371" s="37">
        <v>1</v>
      </c>
      <c r="G371" s="37">
        <v>60</v>
      </c>
      <c r="H371" s="41">
        <f>159496/10957.043*G371</f>
        <v>873.3889243658166</v>
      </c>
      <c r="I371" s="29"/>
    </row>
    <row r="372" spans="1:9" ht="12.75">
      <c r="A372" s="37"/>
      <c r="B372" s="3" t="s">
        <v>325</v>
      </c>
      <c r="C372" s="37" t="s">
        <v>264</v>
      </c>
      <c r="D372" s="37">
        <v>150</v>
      </c>
      <c r="E372" s="46">
        <v>1</v>
      </c>
      <c r="F372" s="37">
        <v>1</v>
      </c>
      <c r="G372" s="37">
        <v>150</v>
      </c>
      <c r="H372" s="41">
        <f>159496/10957.043*G372</f>
        <v>2183.4723109145416</v>
      </c>
      <c r="I372" s="29"/>
    </row>
    <row r="373" spans="1:10" ht="12.75">
      <c r="A373" s="37"/>
      <c r="B373" s="3" t="s">
        <v>334</v>
      </c>
      <c r="C373" s="37" t="s">
        <v>264</v>
      </c>
      <c r="D373" s="37">
        <v>20</v>
      </c>
      <c r="E373" s="46">
        <v>1</v>
      </c>
      <c r="F373" s="37">
        <v>1</v>
      </c>
      <c r="G373" s="37">
        <v>20</v>
      </c>
      <c r="H373" s="41">
        <f>159496/10957.043*G373</f>
        <v>291.1296414552722</v>
      </c>
      <c r="I373" s="29"/>
      <c r="J373" s="131"/>
    </row>
    <row r="374" spans="1:9" ht="12.75">
      <c r="A374" s="37"/>
      <c r="B374" s="3" t="s">
        <v>257</v>
      </c>
      <c r="C374" s="37" t="s">
        <v>264</v>
      </c>
      <c r="D374" s="37">
        <v>16</v>
      </c>
      <c r="E374" s="46">
        <v>1</v>
      </c>
      <c r="F374" s="37">
        <v>1</v>
      </c>
      <c r="G374" s="37">
        <v>16</v>
      </c>
      <c r="H374" s="41">
        <f>159496/10957.043*G374</f>
        <v>232.90371316421775</v>
      </c>
      <c r="I374" s="29"/>
    </row>
    <row r="375" spans="1:9" ht="12.75">
      <c r="A375" s="49"/>
      <c r="B375" s="3" t="s">
        <v>335</v>
      </c>
      <c r="C375" s="37" t="s">
        <v>264</v>
      </c>
      <c r="D375" s="37">
        <v>34</v>
      </c>
      <c r="E375" s="46">
        <v>1</v>
      </c>
      <c r="F375" s="37">
        <v>1</v>
      </c>
      <c r="G375" s="37">
        <v>34</v>
      </c>
      <c r="H375" s="41">
        <f>159496/10957.043*G375</f>
        <v>494.9203904739627</v>
      </c>
      <c r="I375" s="3"/>
    </row>
    <row r="376" spans="1:9" ht="15" customHeight="1">
      <c r="A376" s="49"/>
      <c r="B376" s="2" t="s">
        <v>243</v>
      </c>
      <c r="C376" s="37"/>
      <c r="D376" s="37"/>
      <c r="E376" s="46"/>
      <c r="F376" s="37"/>
      <c r="G376" s="29">
        <f>SUM(G371:G375)</f>
        <v>280</v>
      </c>
      <c r="H376" s="51">
        <f>SUM(H371:H375)</f>
        <v>4075.8149803738106</v>
      </c>
      <c r="I376" s="3"/>
    </row>
    <row r="377" spans="1:10" ht="27" customHeight="1">
      <c r="A377" s="49"/>
      <c r="B377" s="151" t="s">
        <v>383</v>
      </c>
      <c r="C377" s="152"/>
      <c r="D377" s="152"/>
      <c r="E377" s="150"/>
      <c r="F377" s="152"/>
      <c r="G377" s="153">
        <f>G335+G347+G356+G369+G376</f>
        <v>10957.042660000001</v>
      </c>
      <c r="H377" s="71">
        <f>H335+H347+H356+H369+H376</f>
        <v>159495.99505079607</v>
      </c>
      <c r="I377" s="3"/>
      <c r="J377" s="11"/>
    </row>
    <row r="378" spans="1:10" ht="15" customHeight="1">
      <c r="A378" s="49">
        <v>4</v>
      </c>
      <c r="B378" s="2" t="s">
        <v>94</v>
      </c>
      <c r="C378" s="37"/>
      <c r="D378" s="37"/>
      <c r="E378" s="46"/>
      <c r="F378" s="37"/>
      <c r="G378" s="29"/>
      <c r="H378" s="51"/>
      <c r="I378" s="3"/>
      <c r="J378" s="47"/>
    </row>
    <row r="379" spans="1:9" ht="23.25" customHeight="1">
      <c r="A379" s="35"/>
      <c r="B379" s="84" t="s">
        <v>356</v>
      </c>
      <c r="C379" s="35" t="s">
        <v>48</v>
      </c>
      <c r="D379" s="35">
        <v>179</v>
      </c>
      <c r="E379" s="60">
        <v>1</v>
      </c>
      <c r="F379" s="60">
        <v>1</v>
      </c>
      <c r="G379" s="43">
        <f aca="true" t="shared" si="22" ref="G379:G384">D379*E379*F379</f>
        <v>179</v>
      </c>
      <c r="H379" s="41">
        <v>10965</v>
      </c>
      <c r="I379" s="65" t="s">
        <v>364</v>
      </c>
    </row>
    <row r="380" spans="1:9" ht="12.75" customHeight="1">
      <c r="A380" s="35"/>
      <c r="B380" s="83" t="s">
        <v>192</v>
      </c>
      <c r="C380" s="35" t="s">
        <v>48</v>
      </c>
      <c r="D380" s="35">
        <v>3471</v>
      </c>
      <c r="E380" s="35">
        <v>1</v>
      </c>
      <c r="F380" s="35">
        <v>1</v>
      </c>
      <c r="G380" s="43">
        <f t="shared" si="22"/>
        <v>3471</v>
      </c>
      <c r="H380" s="41">
        <f>65412-32600</f>
        <v>32812</v>
      </c>
      <c r="I380" s="37">
        <v>422</v>
      </c>
    </row>
    <row r="381" spans="1:9" ht="12.75">
      <c r="A381" s="35"/>
      <c r="B381" s="68" t="s">
        <v>266</v>
      </c>
      <c r="C381" s="35" t="s">
        <v>48</v>
      </c>
      <c r="D381" s="35">
        <v>60</v>
      </c>
      <c r="E381" s="60">
        <v>1</v>
      </c>
      <c r="F381" s="60">
        <v>1</v>
      </c>
      <c r="G381" s="43">
        <f t="shared" si="22"/>
        <v>60</v>
      </c>
      <c r="H381" s="41">
        <v>1217</v>
      </c>
      <c r="I381" s="35">
        <v>450</v>
      </c>
    </row>
    <row r="382" spans="1:9" ht="12.75">
      <c r="A382" s="35"/>
      <c r="B382" s="68" t="s">
        <v>276</v>
      </c>
      <c r="C382" s="35" t="s">
        <v>48</v>
      </c>
      <c r="D382" s="35">
        <v>1469</v>
      </c>
      <c r="E382" s="60">
        <v>1</v>
      </c>
      <c r="F382" s="60">
        <v>1</v>
      </c>
      <c r="G382" s="43">
        <f t="shared" si="22"/>
        <v>1469</v>
      </c>
      <c r="H382" s="41">
        <f>56306-32200</f>
        <v>24106</v>
      </c>
      <c r="I382" s="35">
        <v>419</v>
      </c>
    </row>
    <row r="383" spans="1:9" ht="12.75">
      <c r="A383" s="37"/>
      <c r="B383" s="3" t="s">
        <v>191</v>
      </c>
      <c r="C383" s="35" t="s">
        <v>48</v>
      </c>
      <c r="D383" s="35">
        <v>362</v>
      </c>
      <c r="E383" s="60">
        <v>1</v>
      </c>
      <c r="F383" s="60">
        <v>1</v>
      </c>
      <c r="G383" s="43">
        <f t="shared" si="22"/>
        <v>362</v>
      </c>
      <c r="H383" s="41">
        <v>8071</v>
      </c>
      <c r="I383" s="35">
        <v>421</v>
      </c>
    </row>
    <row r="384" spans="1:9" ht="12.75">
      <c r="A384" s="37"/>
      <c r="B384" s="83" t="s">
        <v>277</v>
      </c>
      <c r="C384" s="35" t="s">
        <v>48</v>
      </c>
      <c r="D384" s="35">
        <v>249</v>
      </c>
      <c r="E384" s="60">
        <v>1</v>
      </c>
      <c r="F384" s="60">
        <v>1</v>
      </c>
      <c r="G384" s="43">
        <f t="shared" si="22"/>
        <v>249</v>
      </c>
      <c r="H384" s="41">
        <v>7473</v>
      </c>
      <c r="I384" s="35">
        <v>417</v>
      </c>
    </row>
    <row r="385" spans="1:9" ht="15" customHeight="1">
      <c r="A385" s="49"/>
      <c r="B385" s="2" t="s">
        <v>243</v>
      </c>
      <c r="C385" s="37"/>
      <c r="D385" s="37"/>
      <c r="E385" s="46"/>
      <c r="F385" s="37"/>
      <c r="G385" s="56">
        <f>SUM(G379:G384)</f>
        <v>5790</v>
      </c>
      <c r="H385" s="51">
        <f>SUM(H379:H384)</f>
        <v>84644</v>
      </c>
      <c r="I385" s="35"/>
    </row>
    <row r="386" spans="1:10" ht="25.5">
      <c r="A386" s="3"/>
      <c r="B386" s="48" t="s">
        <v>296</v>
      </c>
      <c r="C386" s="3"/>
      <c r="D386" s="3"/>
      <c r="E386" s="3"/>
      <c r="F386" s="3"/>
      <c r="G386" s="136">
        <f>G377+G385</f>
        <v>16747.04266</v>
      </c>
      <c r="H386" s="25">
        <f>H377+H385+H348</f>
        <v>284569.9950507961</v>
      </c>
      <c r="I386" s="3"/>
      <c r="J386" s="11"/>
    </row>
    <row r="387" spans="1:9" ht="28.5" customHeight="1">
      <c r="A387" s="37"/>
      <c r="B387" s="1" t="s">
        <v>314</v>
      </c>
      <c r="C387" s="35"/>
      <c r="D387" s="35"/>
      <c r="E387" s="33"/>
      <c r="F387" s="29"/>
      <c r="G387" s="56"/>
      <c r="H387" s="55">
        <f>43113</f>
        <v>43113</v>
      </c>
      <c r="I387" s="54" t="s">
        <v>315</v>
      </c>
    </row>
    <row r="388" spans="1:9" ht="18.75" customHeight="1">
      <c r="A388" s="37">
        <v>5</v>
      </c>
      <c r="B388" s="1" t="s">
        <v>180</v>
      </c>
      <c r="C388" s="33"/>
      <c r="D388" s="33"/>
      <c r="E388" s="33"/>
      <c r="F388" s="53"/>
      <c r="G388" s="52"/>
      <c r="H388" s="50">
        <f>H389+H390</f>
        <v>15800</v>
      </c>
      <c r="I388" s="29"/>
    </row>
    <row r="389" spans="1:9" ht="15" customHeight="1">
      <c r="A389" s="49">
        <v>1</v>
      </c>
      <c r="B389" s="2" t="s">
        <v>336</v>
      </c>
      <c r="C389" s="37"/>
      <c r="D389" s="37"/>
      <c r="E389" s="33"/>
      <c r="F389" s="29"/>
      <c r="G389" s="31"/>
      <c r="H389" s="128">
        <v>6000</v>
      </c>
      <c r="I389" s="3"/>
    </row>
    <row r="390" spans="1:9" ht="27" customHeight="1">
      <c r="A390" s="64">
        <v>2</v>
      </c>
      <c r="B390" s="48" t="s">
        <v>401</v>
      </c>
      <c r="C390" s="37" t="s">
        <v>63</v>
      </c>
      <c r="D390" s="37">
        <v>2</v>
      </c>
      <c r="E390" s="33"/>
      <c r="F390" s="29"/>
      <c r="G390" s="31"/>
      <c r="H390" s="128">
        <v>9800</v>
      </c>
      <c r="I390" s="3"/>
    </row>
    <row r="391" spans="1:10" ht="30">
      <c r="A391" s="49"/>
      <c r="B391" s="130" t="s">
        <v>236</v>
      </c>
      <c r="C391" s="37"/>
      <c r="D391" s="37"/>
      <c r="E391" s="37"/>
      <c r="F391" s="37"/>
      <c r="G391" s="31"/>
      <c r="H391" s="30">
        <f>H386+H387+H388</f>
        <v>343482.9950507961</v>
      </c>
      <c r="I391" s="3"/>
      <c r="J391" s="47"/>
    </row>
    <row r="392" spans="1:9" ht="14.25" customHeight="1">
      <c r="A392" s="185" t="s">
        <v>17</v>
      </c>
      <c r="B392" s="178"/>
      <c r="C392" s="178"/>
      <c r="D392" s="178"/>
      <c r="E392" s="178"/>
      <c r="F392" s="178"/>
      <c r="G392" s="178"/>
      <c r="H392" s="178"/>
      <c r="I392" s="3"/>
    </row>
    <row r="393" spans="1:9" ht="12.75">
      <c r="A393" s="3">
        <v>1</v>
      </c>
      <c r="B393" s="2" t="s">
        <v>157</v>
      </c>
      <c r="C393" s="3"/>
      <c r="D393" s="3"/>
      <c r="E393" s="46"/>
      <c r="F393" s="37"/>
      <c r="G393" s="37"/>
      <c r="H393" s="45"/>
      <c r="I393" s="3"/>
    </row>
    <row r="394" spans="1:9" ht="12.75">
      <c r="A394" s="35"/>
      <c r="B394" s="3" t="s">
        <v>158</v>
      </c>
      <c r="C394" s="35" t="s">
        <v>43</v>
      </c>
      <c r="D394" s="35">
        <v>1.08</v>
      </c>
      <c r="E394" s="38">
        <v>3</v>
      </c>
      <c r="F394" s="37">
        <v>0.23</v>
      </c>
      <c r="G394" s="43">
        <f>D394*E394*F394</f>
        <v>0.7452000000000001</v>
      </c>
      <c r="H394" s="41">
        <f>45701/2402.13*G394</f>
        <v>14.177577899614095</v>
      </c>
      <c r="I394" s="3"/>
    </row>
    <row r="395" spans="1:9" ht="12.75">
      <c r="A395" s="35"/>
      <c r="B395" s="3" t="s">
        <v>159</v>
      </c>
      <c r="C395" s="35" t="s">
        <v>160</v>
      </c>
      <c r="D395" s="35">
        <v>30</v>
      </c>
      <c r="E395" s="38">
        <v>1</v>
      </c>
      <c r="F395" s="37">
        <v>0.35</v>
      </c>
      <c r="G395" s="43">
        <f>D395*E395*F395</f>
        <v>10.5</v>
      </c>
      <c r="H395" s="41">
        <f aca="true" t="shared" si="23" ref="H395:H410">45701/2402.13*G395</f>
        <v>199.76458393176057</v>
      </c>
      <c r="I395" s="3"/>
    </row>
    <row r="396" spans="1:9" ht="12.75">
      <c r="A396" s="35"/>
      <c r="B396" s="3" t="s">
        <v>161</v>
      </c>
      <c r="C396" s="35" t="s">
        <v>107</v>
      </c>
      <c r="D396" s="35">
        <v>3</v>
      </c>
      <c r="E396" s="38">
        <v>12</v>
      </c>
      <c r="F396" s="37">
        <v>1.35</v>
      </c>
      <c r="G396" s="43">
        <f>D396*E396*F396</f>
        <v>48.6</v>
      </c>
      <c r="H396" s="41">
        <f t="shared" si="23"/>
        <v>924.6246456270061</v>
      </c>
      <c r="I396" s="3"/>
    </row>
    <row r="397" spans="1:9" ht="12.75">
      <c r="A397" s="35"/>
      <c r="B397" s="3" t="s">
        <v>162</v>
      </c>
      <c r="C397" s="35" t="s">
        <v>43</v>
      </c>
      <c r="D397" s="35">
        <v>1.08</v>
      </c>
      <c r="E397" s="38">
        <v>72</v>
      </c>
      <c r="F397" s="37">
        <v>0.03</v>
      </c>
      <c r="G397" s="43">
        <f>D397*E397*F397</f>
        <v>2.3328</v>
      </c>
      <c r="H397" s="41">
        <f t="shared" si="23"/>
        <v>44.38198299009629</v>
      </c>
      <c r="I397" s="3"/>
    </row>
    <row r="398" spans="1:9" ht="12.75">
      <c r="A398" s="35"/>
      <c r="B398" s="3" t="s">
        <v>163</v>
      </c>
      <c r="C398" s="35" t="s">
        <v>43</v>
      </c>
      <c r="D398" s="34">
        <f>100/100</f>
        <v>1</v>
      </c>
      <c r="E398" s="38">
        <v>12</v>
      </c>
      <c r="F398" s="37">
        <v>1.21</v>
      </c>
      <c r="G398" s="43">
        <f>D398*E398*F398</f>
        <v>14.52</v>
      </c>
      <c r="H398" s="41">
        <f t="shared" si="23"/>
        <v>276.2458817799203</v>
      </c>
      <c r="I398" s="3"/>
    </row>
    <row r="399" spans="1:9" ht="12.75">
      <c r="A399" s="35">
        <v>2</v>
      </c>
      <c r="B399" s="2" t="s">
        <v>164</v>
      </c>
      <c r="C399" s="35"/>
      <c r="D399" s="35"/>
      <c r="E399" s="38"/>
      <c r="F399" s="37"/>
      <c r="G399" s="43"/>
      <c r="H399" s="41">
        <f t="shared" si="23"/>
        <v>0</v>
      </c>
      <c r="I399" s="3"/>
    </row>
    <row r="400" spans="1:9" ht="12.75">
      <c r="A400" s="35"/>
      <c r="B400" s="3" t="s">
        <v>165</v>
      </c>
      <c r="C400" s="35" t="s">
        <v>43</v>
      </c>
      <c r="D400" s="44">
        <f>5000/100</f>
        <v>50</v>
      </c>
      <c r="E400" s="38">
        <v>3</v>
      </c>
      <c r="F400" s="37">
        <v>0.23</v>
      </c>
      <c r="G400" s="43">
        <f aca="true" t="shared" si="24" ref="G400:G410">D400*E400*F400</f>
        <v>34.5</v>
      </c>
      <c r="H400" s="41">
        <f t="shared" si="23"/>
        <v>656.3693472043561</v>
      </c>
      <c r="I400" s="3"/>
    </row>
    <row r="401" spans="1:9" ht="12.75">
      <c r="A401" s="35"/>
      <c r="B401" s="3" t="s">
        <v>306</v>
      </c>
      <c r="C401" s="35" t="s">
        <v>43</v>
      </c>
      <c r="D401" s="35">
        <v>1.44</v>
      </c>
      <c r="E401" s="38">
        <v>27</v>
      </c>
      <c r="F401" s="37">
        <v>0.03</v>
      </c>
      <c r="G401" s="43">
        <f t="shared" si="24"/>
        <v>1.1663999999999999</v>
      </c>
      <c r="H401" s="41">
        <f t="shared" si="23"/>
        <v>22.19099149504814</v>
      </c>
      <c r="I401" s="3"/>
    </row>
    <row r="402" spans="1:9" ht="12.75">
      <c r="A402" s="35"/>
      <c r="B402" s="3" t="s">
        <v>166</v>
      </c>
      <c r="C402" s="35" t="s">
        <v>43</v>
      </c>
      <c r="D402" s="35">
        <f>1945/100</f>
        <v>19.45</v>
      </c>
      <c r="E402" s="38">
        <v>27</v>
      </c>
      <c r="F402" s="37">
        <v>0.03</v>
      </c>
      <c r="G402" s="43">
        <f t="shared" si="24"/>
        <v>15.754499999999998</v>
      </c>
      <c r="H402" s="41">
        <f t="shared" si="23"/>
        <v>299.7324892907544</v>
      </c>
      <c r="I402" s="3"/>
    </row>
    <row r="403" spans="1:9" ht="12.75">
      <c r="A403" s="35"/>
      <c r="B403" s="3" t="s">
        <v>167</v>
      </c>
      <c r="C403" s="35"/>
      <c r="D403" s="35"/>
      <c r="E403" s="38"/>
      <c r="F403" s="37"/>
      <c r="G403" s="43">
        <f t="shared" si="24"/>
        <v>0</v>
      </c>
      <c r="H403" s="41">
        <f t="shared" si="23"/>
        <v>0</v>
      </c>
      <c r="I403" s="3"/>
    </row>
    <row r="404" spans="1:9" ht="12.75">
      <c r="A404" s="35"/>
      <c r="B404" s="3" t="s">
        <v>168</v>
      </c>
      <c r="C404" s="35" t="s">
        <v>43</v>
      </c>
      <c r="D404" s="35">
        <v>27.86</v>
      </c>
      <c r="E404" s="38">
        <v>12</v>
      </c>
      <c r="F404" s="37">
        <v>1.21</v>
      </c>
      <c r="G404" s="43">
        <f t="shared" si="24"/>
        <v>404.5272</v>
      </c>
      <c r="H404" s="41">
        <f t="shared" si="23"/>
        <v>7696.21026638858</v>
      </c>
      <c r="I404" s="3"/>
    </row>
    <row r="405" spans="1:9" ht="12.75">
      <c r="A405" s="35"/>
      <c r="B405" s="3" t="s">
        <v>169</v>
      </c>
      <c r="C405" s="35" t="s">
        <v>145</v>
      </c>
      <c r="D405" s="35">
        <v>3</v>
      </c>
      <c r="E405" s="38">
        <v>12</v>
      </c>
      <c r="F405" s="37">
        <v>1.35</v>
      </c>
      <c r="G405" s="43">
        <f t="shared" si="24"/>
        <v>48.6</v>
      </c>
      <c r="H405" s="41">
        <f t="shared" si="23"/>
        <v>924.6246456270061</v>
      </c>
      <c r="I405" s="3"/>
    </row>
    <row r="406" spans="1:9" ht="12.75">
      <c r="A406" s="35"/>
      <c r="B406" s="3" t="s">
        <v>170</v>
      </c>
      <c r="C406" s="35" t="s">
        <v>43</v>
      </c>
      <c r="D406" s="35">
        <v>27.86</v>
      </c>
      <c r="E406" s="38">
        <v>6</v>
      </c>
      <c r="F406" s="37">
        <v>0.4</v>
      </c>
      <c r="G406" s="43">
        <f t="shared" si="24"/>
        <v>66.864</v>
      </c>
      <c r="H406" s="41">
        <f t="shared" si="23"/>
        <v>1272.1008704774513</v>
      </c>
      <c r="I406" s="3"/>
    </row>
    <row r="407" spans="1:9" ht="12.75">
      <c r="A407" s="35"/>
      <c r="B407" s="3" t="s">
        <v>171</v>
      </c>
      <c r="C407" s="35" t="s">
        <v>43</v>
      </c>
      <c r="D407" s="44">
        <f>22000*0.1/100</f>
        <v>22</v>
      </c>
      <c r="E407" s="38">
        <v>72</v>
      </c>
      <c r="F407" s="37">
        <v>0.03</v>
      </c>
      <c r="G407" s="43">
        <f t="shared" si="24"/>
        <v>47.519999999999996</v>
      </c>
      <c r="H407" s="41">
        <f t="shared" si="23"/>
        <v>904.0774312797391</v>
      </c>
      <c r="I407" s="3"/>
    </row>
    <row r="408" spans="1:9" ht="12.75">
      <c r="A408" s="35"/>
      <c r="B408" s="3" t="s">
        <v>159</v>
      </c>
      <c r="C408" s="35" t="s">
        <v>160</v>
      </c>
      <c r="D408" s="44">
        <v>30</v>
      </c>
      <c r="E408" s="38">
        <v>4</v>
      </c>
      <c r="F408" s="37">
        <v>0.35</v>
      </c>
      <c r="G408" s="43">
        <f t="shared" si="24"/>
        <v>42</v>
      </c>
      <c r="H408" s="41">
        <f t="shared" si="23"/>
        <v>799.0583357270423</v>
      </c>
      <c r="I408" s="3"/>
    </row>
    <row r="409" spans="1:9" ht="12.75">
      <c r="A409" s="35"/>
      <c r="B409" s="3" t="s">
        <v>328</v>
      </c>
      <c r="C409" s="35" t="s">
        <v>43</v>
      </c>
      <c r="D409" s="44">
        <v>2.44</v>
      </c>
      <c r="E409" s="38">
        <v>2</v>
      </c>
      <c r="F409" s="37">
        <v>6.25</v>
      </c>
      <c r="G409" s="43">
        <f t="shared" si="24"/>
        <v>30.5</v>
      </c>
      <c r="H409" s="41">
        <f t="shared" si="23"/>
        <v>580.2685533255902</v>
      </c>
      <c r="I409" s="3"/>
    </row>
    <row r="410" spans="1:9" ht="12.75">
      <c r="A410" s="35"/>
      <c r="B410" s="3" t="s">
        <v>172</v>
      </c>
      <c r="C410" s="35" t="s">
        <v>48</v>
      </c>
      <c r="D410" s="44">
        <v>120</v>
      </c>
      <c r="E410" s="38">
        <v>12</v>
      </c>
      <c r="F410" s="37">
        <v>1</v>
      </c>
      <c r="G410" s="43">
        <f t="shared" si="24"/>
        <v>1440</v>
      </c>
      <c r="H410" s="41">
        <f t="shared" si="23"/>
        <v>27396.285796355733</v>
      </c>
      <c r="I410" s="3"/>
    </row>
    <row r="411" spans="1:9" ht="12.75">
      <c r="A411" s="35"/>
      <c r="B411" s="3" t="s">
        <v>399</v>
      </c>
      <c r="C411" s="35"/>
      <c r="D411" s="44"/>
      <c r="E411" s="38"/>
      <c r="F411" s="37"/>
      <c r="G411" s="43"/>
      <c r="H411" s="41"/>
      <c r="I411" s="3"/>
    </row>
    <row r="412" spans="1:9" ht="12.75">
      <c r="A412" s="35"/>
      <c r="B412" s="2" t="s">
        <v>243</v>
      </c>
      <c r="C412" s="35"/>
      <c r="D412" s="35"/>
      <c r="E412" s="33"/>
      <c r="F412" s="29"/>
      <c r="G412" s="31">
        <f>SUM(G394:G410)</f>
        <v>2208.1301</v>
      </c>
      <c r="H412" s="40">
        <f>SUM(H394:H410)</f>
        <v>42010.11339939969</v>
      </c>
      <c r="I412" s="3"/>
    </row>
    <row r="413" spans="1:9" ht="12.75">
      <c r="A413" s="35"/>
      <c r="B413" s="3" t="s">
        <v>400</v>
      </c>
      <c r="C413" s="35"/>
      <c r="D413" s="35"/>
      <c r="E413" s="33"/>
      <c r="F413" s="29"/>
      <c r="G413" s="31"/>
      <c r="H413" s="40"/>
      <c r="I413" s="3"/>
    </row>
    <row r="414" spans="1:9" ht="12.75">
      <c r="A414" s="35">
        <v>3</v>
      </c>
      <c r="B414" s="5" t="s">
        <v>387</v>
      </c>
      <c r="C414" s="35"/>
      <c r="D414" s="42"/>
      <c r="E414" s="38"/>
      <c r="F414" s="37"/>
      <c r="G414" s="43"/>
      <c r="H414" s="41"/>
      <c r="I414" s="3"/>
    </row>
    <row r="415" spans="1:9" ht="12.75">
      <c r="A415" s="35"/>
      <c r="B415" s="3" t="s">
        <v>337</v>
      </c>
      <c r="C415" s="37" t="s">
        <v>264</v>
      </c>
      <c r="D415" s="42">
        <v>40</v>
      </c>
      <c r="E415" s="38">
        <v>1</v>
      </c>
      <c r="F415" s="37">
        <v>1</v>
      </c>
      <c r="G415" s="42">
        <v>40</v>
      </c>
      <c r="H415" s="41">
        <f>45701/2402.13*G415</f>
        <v>761.0079387876592</v>
      </c>
      <c r="I415" s="3"/>
    </row>
    <row r="416" spans="1:9" ht="12.75">
      <c r="A416" s="35"/>
      <c r="B416" s="3" t="s">
        <v>326</v>
      </c>
      <c r="C416" s="37" t="s">
        <v>264</v>
      </c>
      <c r="D416" s="42">
        <v>54</v>
      </c>
      <c r="E416" s="38">
        <v>1</v>
      </c>
      <c r="F416" s="37">
        <v>1</v>
      </c>
      <c r="G416" s="42">
        <v>54</v>
      </c>
      <c r="H416" s="41">
        <f>45701/2402.13*G416</f>
        <v>1027.36071736334</v>
      </c>
      <c r="I416" s="3"/>
    </row>
    <row r="417" spans="1:9" ht="12.75">
      <c r="A417" s="35"/>
      <c r="B417" s="3" t="s">
        <v>259</v>
      </c>
      <c r="C417" s="37" t="s">
        <v>264</v>
      </c>
      <c r="D417" s="42">
        <v>60</v>
      </c>
      <c r="E417" s="38">
        <v>1</v>
      </c>
      <c r="F417" s="37">
        <v>1</v>
      </c>
      <c r="G417" s="42">
        <v>60</v>
      </c>
      <c r="H417" s="41">
        <f>45701/2402.13*G417</f>
        <v>1141.511908181489</v>
      </c>
      <c r="I417" s="3"/>
    </row>
    <row r="418" spans="1:9" ht="12.75">
      <c r="A418" s="35"/>
      <c r="B418" s="3" t="s">
        <v>338</v>
      </c>
      <c r="C418" s="37" t="s">
        <v>264</v>
      </c>
      <c r="D418" s="42">
        <v>40</v>
      </c>
      <c r="E418" s="38"/>
      <c r="F418" s="37"/>
      <c r="G418" s="42">
        <v>40</v>
      </c>
      <c r="H418" s="41">
        <f>45701/2402.13*G418</f>
        <v>761.0079387876592</v>
      </c>
      <c r="I418" s="3"/>
    </row>
    <row r="419" spans="1:10" ht="12.75">
      <c r="A419" s="35"/>
      <c r="B419" s="2" t="s">
        <v>243</v>
      </c>
      <c r="C419" s="37"/>
      <c r="D419" s="42"/>
      <c r="E419" s="38"/>
      <c r="F419" s="37"/>
      <c r="G419" s="39">
        <f>SUM(G415:G418)</f>
        <v>194</v>
      </c>
      <c r="H419" s="40">
        <f>SUM(H415:H418)</f>
        <v>3690.888503120147</v>
      </c>
      <c r="I419" s="3"/>
      <c r="J419" s="11"/>
    </row>
    <row r="420" spans="1:9" ht="16.5" customHeight="1">
      <c r="A420" s="35"/>
      <c r="B420" s="2" t="s">
        <v>386</v>
      </c>
      <c r="C420" s="75"/>
      <c r="D420" s="145"/>
      <c r="E420" s="142"/>
      <c r="F420" s="75"/>
      <c r="G420" s="136">
        <f>G412+G419</f>
        <v>2402.1301</v>
      </c>
      <c r="H420" s="50">
        <f>H412+H419</f>
        <v>45701.00190251984</v>
      </c>
      <c r="I420" s="3"/>
    </row>
    <row r="421" spans="1:9" ht="24" customHeight="1">
      <c r="A421" s="35">
        <v>4</v>
      </c>
      <c r="B421" s="2" t="s">
        <v>310</v>
      </c>
      <c r="C421" s="35" t="s">
        <v>48</v>
      </c>
      <c r="D421" s="44">
        <v>152</v>
      </c>
      <c r="E421" s="38">
        <v>1</v>
      </c>
      <c r="F421" s="37">
        <v>1</v>
      </c>
      <c r="G421" s="43">
        <f>D421*E421*F421</f>
        <v>152</v>
      </c>
      <c r="H421" s="41">
        <v>16366</v>
      </c>
      <c r="I421" s="65" t="s">
        <v>366</v>
      </c>
    </row>
    <row r="422" spans="1:9" ht="15">
      <c r="A422" s="3"/>
      <c r="B422" s="2" t="s">
        <v>234</v>
      </c>
      <c r="C422" s="3"/>
      <c r="D422" s="3"/>
      <c r="E422" s="29"/>
      <c r="F422" s="29"/>
      <c r="G422" s="138">
        <f>G420+G421</f>
        <v>2554.1301</v>
      </c>
      <c r="H422" s="30">
        <f>H420+H421</f>
        <v>62067.00190251984</v>
      </c>
      <c r="I422" s="3"/>
    </row>
    <row r="423" spans="1:10" ht="25.5" customHeight="1">
      <c r="A423" s="29"/>
      <c r="B423" s="28" t="s">
        <v>237</v>
      </c>
      <c r="C423" s="27"/>
      <c r="D423" s="27"/>
      <c r="E423" s="27"/>
      <c r="F423" s="27"/>
      <c r="G423" s="26"/>
      <c r="H423" s="165">
        <f>H136+H211+H264+H305+H391+H422+H325+H138</f>
        <v>6943190.387884857</v>
      </c>
      <c r="I423" s="3"/>
      <c r="J423" s="47"/>
    </row>
    <row r="424" spans="1:7" ht="12.75">
      <c r="A424" s="10"/>
      <c r="B424" s="10"/>
      <c r="C424" s="10"/>
      <c r="D424" s="10"/>
      <c r="E424" s="10"/>
      <c r="F424" s="10"/>
      <c r="G424" s="10"/>
    </row>
    <row r="425" spans="1:12" s="13" customFormat="1" ht="12.75">
      <c r="A425" s="19"/>
      <c r="B425" s="14"/>
      <c r="C425" s="14"/>
      <c r="D425" s="14"/>
      <c r="F425" s="14"/>
      <c r="H425" s="23"/>
      <c r="I425" s="23"/>
      <c r="J425" s="12"/>
      <c r="L425" s="24"/>
    </row>
    <row r="426" spans="1:12" s="13" customFormat="1" ht="12.75">
      <c r="A426" s="19"/>
      <c r="G426" s="23"/>
      <c r="H426" s="23"/>
      <c r="I426" s="12"/>
      <c r="J426" s="12"/>
      <c r="K426" s="22"/>
      <c r="L426" s="21"/>
    </row>
    <row r="427" spans="1:8" s="13" customFormat="1" ht="12.75">
      <c r="A427" s="19"/>
      <c r="G427" s="164"/>
      <c r="H427" s="15"/>
    </row>
    <row r="428" spans="1:9" s="13" customFormat="1" ht="12.75" customHeight="1">
      <c r="A428" s="19"/>
      <c r="G428" s="12"/>
      <c r="H428" s="12"/>
      <c r="I428" s="12"/>
    </row>
    <row r="429" spans="1:9" s="13" customFormat="1" ht="12.75">
      <c r="A429" s="19"/>
      <c r="G429" s="12"/>
      <c r="H429" s="20"/>
      <c r="I429" s="12"/>
    </row>
    <row r="430" spans="1:9" s="13" customFormat="1" ht="12.75">
      <c r="A430" s="19"/>
      <c r="H430" s="15"/>
      <c r="I430" s="12"/>
    </row>
    <row r="431" spans="1:8" s="13" customFormat="1" ht="12.75">
      <c r="A431" s="19"/>
      <c r="H431" s="14"/>
    </row>
    <row r="432" spans="1:8" s="13" customFormat="1" ht="12.75">
      <c r="A432" s="19"/>
      <c r="G432" s="12"/>
      <c r="H432" s="15"/>
    </row>
    <row r="433" spans="1:9" ht="12.75">
      <c r="A433" s="7"/>
      <c r="G433" s="13"/>
      <c r="H433" s="11"/>
      <c r="I433" s="11"/>
    </row>
    <row r="434" ht="12.75">
      <c r="G434" s="13"/>
    </row>
    <row r="435" spans="2:9" ht="12.75">
      <c r="B435" s="13"/>
      <c r="C435" s="13"/>
      <c r="D435" s="13"/>
      <c r="E435" s="13"/>
      <c r="F435" s="13"/>
      <c r="G435" s="13"/>
      <c r="H435" s="18"/>
      <c r="I435" s="11"/>
    </row>
    <row r="436" spans="2:9" ht="12.75">
      <c r="B436" s="13"/>
      <c r="C436" s="13"/>
      <c r="D436" s="13"/>
      <c r="E436" s="13"/>
      <c r="F436" s="13"/>
      <c r="G436" s="13"/>
      <c r="I436" s="11"/>
    </row>
    <row r="437" spans="2:6" ht="12.75">
      <c r="B437" s="17"/>
      <c r="C437" s="13"/>
      <c r="D437" s="13"/>
      <c r="E437" s="13"/>
      <c r="F437" s="13"/>
    </row>
    <row r="438" ht="12.75">
      <c r="H438" s="11"/>
    </row>
    <row r="444" spans="2:7" ht="12.75">
      <c r="B444" s="14"/>
      <c r="C444" s="14"/>
      <c r="D444" s="14"/>
      <c r="E444" s="16"/>
      <c r="F444" s="14"/>
      <c r="G444" s="15"/>
    </row>
    <row r="445" spans="2:7" ht="12.75">
      <c r="B445" s="14"/>
      <c r="C445" s="14"/>
      <c r="D445" s="14"/>
      <c r="E445" s="14"/>
      <c r="F445" s="14"/>
      <c r="G445" s="14"/>
    </row>
    <row r="446" spans="2:7" ht="12.75">
      <c r="B446" s="8"/>
      <c r="C446" s="14"/>
      <c r="D446" s="14"/>
      <c r="G446" s="14"/>
    </row>
    <row r="447" spans="2:7" ht="12.75">
      <c r="B447" s="8"/>
      <c r="C447" s="14"/>
      <c r="D447" s="14"/>
      <c r="G447" s="15"/>
    </row>
    <row r="448" spans="2:7" ht="12.75">
      <c r="B448" s="8"/>
      <c r="C448" s="14"/>
      <c r="D448" s="14"/>
      <c r="G448" s="13"/>
    </row>
    <row r="449" spans="2:7" ht="12.75">
      <c r="B449" s="8"/>
      <c r="G449" s="12"/>
    </row>
    <row r="450" ht="12.75">
      <c r="B450" s="8"/>
    </row>
    <row r="451" spans="2:7" ht="12.75">
      <c r="B451" s="8"/>
      <c r="G451" s="11"/>
    </row>
    <row r="452" ht="12.75">
      <c r="B452" s="8"/>
    </row>
    <row r="453" spans="1:2" ht="12.75">
      <c r="A453" s="9"/>
      <c r="B453" s="8"/>
    </row>
    <row r="454" ht="12.75">
      <c r="B454" s="8"/>
    </row>
    <row r="455" ht="12.75">
      <c r="B455" s="8"/>
    </row>
    <row r="482" ht="12.75">
      <c r="B482" s="7"/>
    </row>
  </sheetData>
  <mergeCells count="22">
    <mergeCell ref="A326:H326"/>
    <mergeCell ref="A392:H392"/>
    <mergeCell ref="A327:H327"/>
    <mergeCell ref="A336:H336"/>
    <mergeCell ref="A337:H337"/>
    <mergeCell ref="A349:H349"/>
    <mergeCell ref="A265:H265"/>
    <mergeCell ref="A266:H266"/>
    <mergeCell ref="A306:H306"/>
    <mergeCell ref="A307:H307"/>
    <mergeCell ref="A140:H140"/>
    <mergeCell ref="A141:H141"/>
    <mergeCell ref="A212:H212"/>
    <mergeCell ref="A213:H213"/>
    <mergeCell ref="A21:H21"/>
    <mergeCell ref="A22:H22"/>
    <mergeCell ref="B89:I89"/>
    <mergeCell ref="A137:G137"/>
    <mergeCell ref="C11:D11"/>
    <mergeCell ref="A18:H18"/>
    <mergeCell ref="A19:H19"/>
    <mergeCell ref="A20:H20"/>
  </mergeCells>
  <printOptions/>
  <pageMargins left="0.16" right="0.16" top="0.16" bottom="0.17" header="0.17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2013-01-30T09:43:45Z</cp:lastPrinted>
  <dcterms:created xsi:type="dcterms:W3CDTF">2008-06-02T11:59:37Z</dcterms:created>
  <dcterms:modified xsi:type="dcterms:W3CDTF">2013-01-30T09:44:48Z</dcterms:modified>
  <cp:category/>
  <cp:version/>
  <cp:contentType/>
  <cp:contentStatus/>
</cp:coreProperties>
</file>